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ulodz-my.sharepoint.com/personal/jaroslaw_wojciechowski_p_lodz_pl/Documents/_------PODRECZNIK Jak uruchomić firmę z branży tekstylnej/"/>
    </mc:Choice>
  </mc:AlternateContent>
  <xr:revisionPtr revIDLastSave="842" documentId="8_{AA43CD17-F0BA-4DD9-B001-76891B248B23}" xr6:coauthVersionLast="47" xr6:coauthVersionMax="47" xr10:uidLastSave="{6ED63169-E1DD-4D6C-8A7C-6AE1DBED7885}"/>
  <workbookProtection workbookAlgorithmName="SHA-512" workbookHashValue="BI4H6L9Jr/YknNepnMbuc8X3XHw5/FnHVB/FBE9nIO3VH75aG3xOo/2WtM6r7Foyd6oYzEXxBXAopyzP7tB00g==" workbookSaltValue="bAF7lZq7UF1YsLGNp0Afbw==" workbookSpinCount="100000" lockStructure="1"/>
  <bookViews>
    <workbookView xWindow="-108" yWindow="-108" windowWidth="23256" windowHeight="12456" tabRatio="828" firstSheet="1" activeTab="1" xr2:uid="{00000000-000D-0000-FFFF-FFFF00000000}"/>
  </bookViews>
  <sheets>
    <sheet name="rpp_real" sheetId="16" state="hidden" r:id="rId1"/>
    <sheet name="00.Metodyka" sheetId="36" r:id="rId2"/>
    <sheet name="0.Panel" sheetId="32" r:id="rId3"/>
    <sheet name="1.Analiza konkurencji" sheetId="33" r:id="rId4"/>
    <sheet name="2.Rachunek zysków i start" sheetId="3" r:id="rId5"/>
    <sheet name="3.Środki trwałe" sheetId="4" r:id="rId6"/>
    <sheet name="4.Koszty stałe" sheetId="5" r:id="rId7"/>
    <sheet name="5.JKW" sheetId="17" r:id="rId8"/>
    <sheet name="6.Koszty początkowe" sheetId="18" r:id="rId9"/>
    <sheet name="6.1.Kwota na materiały" sheetId="29" r:id="rId10"/>
    <sheet name="6.2.Koszty zmienne" sheetId="28" r:id="rId11"/>
    <sheet name="6.3.Wolumen produkcji" sheetId="19" r:id="rId12"/>
    <sheet name="7.Przychody" sheetId="6" r:id="rId13"/>
    <sheet name="8.Cena sprzedaży" sheetId="31" r:id="rId14"/>
    <sheet name="8.1.Marza" sheetId="30" r:id="rId15"/>
    <sheet name="9.Kredyt" sheetId="20" r:id="rId16"/>
    <sheet name="10.Bilans" sheetId="13" r:id="rId17"/>
    <sheet name="11.Wykres Gantta" sheetId="25" r:id="rId18"/>
    <sheet name="12.Analiza wskaźnikowa" sheetId="22" r:id="rId19"/>
    <sheet name="13.NPV i IRR" sheetId="21" r:id="rId20"/>
    <sheet name="14.Wykonalność kredytu" sheetId="27" r:id="rId21"/>
    <sheet name="15. Wykonalność godzin pracy" sheetId="34" r:id="rId22"/>
  </sheets>
  <definedNames>
    <definedName name="_xlnm.Print_Area" localSheetId="6">'4.Koszty stałe'!$A$1:$G$152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3" i="4" l="1"/>
  <c r="C4" i="18"/>
  <c r="B12" i="5"/>
  <c r="C5" i="18"/>
  <c r="C11" i="17"/>
  <c r="M6" i="17"/>
  <c r="O6" i="17"/>
  <c r="O11" i="17"/>
  <c r="O13" i="17"/>
  <c r="O15" i="17"/>
  <c r="O18" i="17"/>
  <c r="H4" i="17"/>
  <c r="B4" i="17"/>
  <c r="C21" i="17"/>
  <c r="O26" i="17"/>
  <c r="O28" i="17"/>
  <c r="O29" i="17"/>
  <c r="O30" i="17"/>
  <c r="O31" i="17"/>
  <c r="O33" i="17"/>
  <c r="H13" i="17"/>
  <c r="B13" i="17"/>
  <c r="B3" i="17"/>
  <c r="C6" i="18"/>
  <c r="B20" i="5"/>
  <c r="B45" i="5"/>
  <c r="B64" i="5"/>
  <c r="B21" i="5"/>
  <c r="B46" i="5"/>
  <c r="B65" i="5"/>
  <c r="B47" i="5"/>
  <c r="B66" i="5"/>
  <c r="B48" i="5"/>
  <c r="B67" i="5"/>
  <c r="B49" i="5"/>
  <c r="B68" i="5"/>
  <c r="B50" i="5"/>
  <c r="B69" i="5"/>
  <c r="B51" i="5"/>
  <c r="B70" i="5"/>
  <c r="B52" i="5"/>
  <c r="B71" i="5"/>
  <c r="B53" i="5"/>
  <c r="B72" i="5"/>
  <c r="B54" i="5"/>
  <c r="B73" i="5"/>
  <c r="B55" i="5"/>
  <c r="B74" i="5"/>
  <c r="B56" i="5"/>
  <c r="B75" i="5"/>
  <c r="B57" i="5"/>
  <c r="B76" i="5"/>
  <c r="B58" i="5"/>
  <c r="B77" i="5"/>
  <c r="B59" i="5"/>
  <c r="B78" i="5"/>
  <c r="B79" i="5"/>
  <c r="C7" i="18"/>
  <c r="B84" i="5"/>
  <c r="B85" i="5"/>
  <c r="B98" i="5"/>
  <c r="B101" i="5"/>
  <c r="C8" i="18"/>
  <c r="B128" i="5"/>
  <c r="C9" i="18"/>
  <c r="B136" i="5"/>
  <c r="B142" i="5"/>
  <c r="B152" i="5"/>
  <c r="C10" i="18"/>
  <c r="C11" i="18"/>
  <c r="B3" i="29"/>
  <c r="B4" i="29"/>
  <c r="C3" i="20"/>
  <c r="B5" i="20"/>
  <c r="F5" i="20"/>
  <c r="B7" i="20"/>
  <c r="B5" i="29"/>
  <c r="B6" i="20"/>
  <c r="B8" i="20"/>
  <c r="C4" i="20"/>
  <c r="C137" i="5"/>
  <c r="D137" i="5"/>
  <c r="E137" i="5"/>
  <c r="F137" i="5"/>
  <c r="G137" i="5"/>
  <c r="C138" i="5"/>
  <c r="D138" i="5"/>
  <c r="E138" i="5"/>
  <c r="F138" i="5"/>
  <c r="G138" i="5"/>
  <c r="C139" i="5"/>
  <c r="D139" i="5"/>
  <c r="E139" i="5"/>
  <c r="F139" i="5"/>
  <c r="G139" i="5"/>
  <c r="C140" i="5"/>
  <c r="D140" i="5"/>
  <c r="E140" i="5"/>
  <c r="F140" i="5"/>
  <c r="G140" i="5"/>
  <c r="C141" i="5"/>
  <c r="D141" i="5"/>
  <c r="E141" i="5"/>
  <c r="F141" i="5"/>
  <c r="G141" i="5"/>
  <c r="C136" i="5"/>
  <c r="D136" i="5"/>
  <c r="E136" i="5"/>
  <c r="F136" i="5"/>
  <c r="G136" i="5"/>
  <c r="C135" i="5"/>
  <c r="D135" i="5"/>
  <c r="E135" i="5"/>
  <c r="F135" i="5"/>
  <c r="G135" i="5"/>
  <c r="A44" i="4"/>
  <c r="A66" i="4"/>
  <c r="A43" i="4"/>
  <c r="A65" i="4"/>
  <c r="A42" i="4"/>
  <c r="A64" i="4"/>
  <c r="A41" i="4"/>
  <c r="A63" i="4"/>
  <c r="A40" i="4"/>
  <c r="A62" i="4"/>
  <c r="A39" i="4"/>
  <c r="A61" i="4"/>
  <c r="A38" i="4"/>
  <c r="A60" i="4"/>
  <c r="A37" i="4"/>
  <c r="A59" i="4"/>
  <c r="A36" i="4"/>
  <c r="A58" i="4"/>
  <c r="A35" i="4"/>
  <c r="A57" i="4"/>
  <c r="A34" i="4"/>
  <c r="A56" i="4"/>
  <c r="A33" i="4"/>
  <c r="A55" i="4"/>
  <c r="A32" i="4"/>
  <c r="A54" i="4"/>
  <c r="A31" i="4"/>
  <c r="A53" i="4"/>
  <c r="A30" i="4"/>
  <c r="A52" i="4"/>
  <c r="A29" i="4"/>
  <c r="A51" i="4"/>
  <c r="A28" i="4"/>
  <c r="A50" i="4"/>
  <c r="A27" i="4"/>
  <c r="A49" i="4"/>
  <c r="B5" i="33"/>
  <c r="B6" i="32"/>
  <c r="B8" i="32"/>
  <c r="B10" i="33"/>
  <c r="B10" i="32"/>
  <c r="B12" i="32"/>
  <c r="M22" i="17"/>
  <c r="B133" i="5"/>
  <c r="C133" i="5"/>
  <c r="D133" i="5"/>
  <c r="E133" i="5"/>
  <c r="F133" i="5"/>
  <c r="G133" i="5"/>
  <c r="F3" i="20"/>
  <c r="F8" i="20"/>
  <c r="F16" i="20"/>
  <c r="C35" i="13"/>
  <c r="C21" i="13"/>
  <c r="C15" i="13"/>
  <c r="B12" i="22"/>
  <c r="B31" i="32"/>
  <c r="D5" i="19"/>
  <c r="E5" i="19"/>
  <c r="B19" i="32"/>
  <c r="D9" i="19"/>
  <c r="D13" i="19"/>
  <c r="D3" i="34"/>
  <c r="D5" i="34"/>
  <c r="F5" i="34"/>
  <c r="D4" i="19"/>
  <c r="E4" i="19"/>
  <c r="B16" i="32"/>
  <c r="D8" i="19"/>
  <c r="D12" i="19"/>
  <c r="D4" i="34"/>
  <c r="F4" i="34"/>
  <c r="F8" i="34"/>
  <c r="C134" i="5"/>
  <c r="D134" i="5"/>
  <c r="E134" i="5"/>
  <c r="F134" i="5"/>
  <c r="G134" i="5"/>
  <c r="G152" i="5"/>
  <c r="F152" i="5"/>
  <c r="E152" i="5"/>
  <c r="D152" i="5"/>
  <c r="C152" i="5"/>
  <c r="B42" i="6"/>
  <c r="A42" i="6"/>
  <c r="G35" i="13"/>
  <c r="F35" i="13"/>
  <c r="E35" i="13"/>
  <c r="D35" i="13"/>
  <c r="D37" i="13"/>
  <c r="E37" i="13"/>
  <c r="F37" i="13"/>
  <c r="G37" i="13"/>
  <c r="C37" i="13"/>
  <c r="C23" i="5"/>
  <c r="C48" i="5"/>
  <c r="D23" i="5"/>
  <c r="D48" i="5"/>
  <c r="E23" i="5"/>
  <c r="E48" i="5"/>
  <c r="F23" i="5"/>
  <c r="F48" i="5"/>
  <c r="G23" i="5"/>
  <c r="G48" i="5"/>
  <c r="C24" i="5"/>
  <c r="C49" i="5"/>
  <c r="D24" i="5"/>
  <c r="D49" i="5"/>
  <c r="E24" i="5"/>
  <c r="E49" i="5"/>
  <c r="F24" i="5"/>
  <c r="F49" i="5"/>
  <c r="G24" i="5"/>
  <c r="G49" i="5"/>
  <c r="C25" i="5"/>
  <c r="C50" i="5"/>
  <c r="D25" i="5"/>
  <c r="D50" i="5"/>
  <c r="E25" i="5"/>
  <c r="E50" i="5"/>
  <c r="F25" i="5"/>
  <c r="F50" i="5"/>
  <c r="G25" i="5"/>
  <c r="G50" i="5"/>
  <c r="C26" i="5"/>
  <c r="C51" i="5"/>
  <c r="D26" i="5"/>
  <c r="D51" i="5"/>
  <c r="E26" i="5"/>
  <c r="E51" i="5"/>
  <c r="F26" i="5"/>
  <c r="F51" i="5"/>
  <c r="G26" i="5"/>
  <c r="G51" i="5"/>
  <c r="C22" i="5"/>
  <c r="C47" i="5"/>
  <c r="D22" i="5"/>
  <c r="D47" i="5"/>
  <c r="E22" i="5"/>
  <c r="E47" i="5"/>
  <c r="F22" i="5"/>
  <c r="F47" i="5"/>
  <c r="G22" i="5"/>
  <c r="G47" i="5"/>
  <c r="C21" i="5"/>
  <c r="C46" i="5"/>
  <c r="D21" i="5"/>
  <c r="D46" i="5"/>
  <c r="E21" i="5"/>
  <c r="E46" i="5"/>
  <c r="F21" i="5"/>
  <c r="F46" i="5"/>
  <c r="G21" i="5"/>
  <c r="G46" i="5"/>
  <c r="C20" i="5"/>
  <c r="C45" i="5"/>
  <c r="D20" i="5"/>
  <c r="D45" i="5"/>
  <c r="E20" i="5"/>
  <c r="E45" i="5"/>
  <c r="F20" i="5"/>
  <c r="F45" i="5"/>
  <c r="G20" i="5"/>
  <c r="G45" i="5"/>
  <c r="B7" i="31"/>
  <c r="B4" i="31"/>
  <c r="B5" i="6"/>
  <c r="B6" i="6"/>
  <c r="B19" i="6"/>
  <c r="F10" i="34"/>
  <c r="B7" i="27"/>
  <c r="E9" i="27"/>
  <c r="C11" i="30"/>
  <c r="C13" i="30"/>
  <c r="C5" i="30"/>
  <c r="C7" i="30"/>
  <c r="E18" i="4"/>
  <c r="F18" i="4"/>
  <c r="G18" i="4"/>
  <c r="C6" i="6"/>
  <c r="D6" i="6"/>
  <c r="E6" i="6"/>
  <c r="F6" i="6"/>
  <c r="G6" i="6"/>
  <c r="C5" i="6"/>
  <c r="D5" i="6"/>
  <c r="E5" i="6"/>
  <c r="F5" i="6"/>
  <c r="G5" i="6"/>
  <c r="C85" i="5"/>
  <c r="D85" i="5"/>
  <c r="E85" i="5"/>
  <c r="F85" i="5"/>
  <c r="G85" i="5"/>
  <c r="C86" i="5"/>
  <c r="D86" i="5"/>
  <c r="E86" i="5"/>
  <c r="F86" i="5"/>
  <c r="G86" i="5"/>
  <c r="C87" i="5"/>
  <c r="D87" i="5"/>
  <c r="E87" i="5"/>
  <c r="F87" i="5"/>
  <c r="G87" i="5"/>
  <c r="C88" i="5"/>
  <c r="D88" i="5"/>
  <c r="E88" i="5"/>
  <c r="F88" i="5"/>
  <c r="G88" i="5"/>
  <c r="C89" i="5"/>
  <c r="D89" i="5"/>
  <c r="E89" i="5"/>
  <c r="F89" i="5"/>
  <c r="G89" i="5"/>
  <c r="C90" i="5"/>
  <c r="D90" i="5"/>
  <c r="E90" i="5"/>
  <c r="F90" i="5"/>
  <c r="G90" i="5"/>
  <c r="C91" i="5"/>
  <c r="D91" i="5"/>
  <c r="E91" i="5"/>
  <c r="F91" i="5"/>
  <c r="G91" i="5"/>
  <c r="C92" i="5"/>
  <c r="D92" i="5"/>
  <c r="E92" i="5"/>
  <c r="F92" i="5"/>
  <c r="G92" i="5"/>
  <c r="C93" i="5"/>
  <c r="D93" i="5"/>
  <c r="E93" i="5"/>
  <c r="F93" i="5"/>
  <c r="G93" i="5"/>
  <c r="C94" i="5"/>
  <c r="D94" i="5"/>
  <c r="E94" i="5"/>
  <c r="F94" i="5"/>
  <c r="G94" i="5"/>
  <c r="C95" i="5"/>
  <c r="D95" i="5"/>
  <c r="E95" i="5"/>
  <c r="F95" i="5"/>
  <c r="G95" i="5"/>
  <c r="C96" i="5"/>
  <c r="D96" i="5"/>
  <c r="E96" i="5"/>
  <c r="F96" i="5"/>
  <c r="G96" i="5"/>
  <c r="C97" i="5"/>
  <c r="D97" i="5"/>
  <c r="E97" i="5"/>
  <c r="F97" i="5"/>
  <c r="G97" i="5"/>
  <c r="C98" i="5"/>
  <c r="D98" i="5"/>
  <c r="E98" i="5"/>
  <c r="F98" i="5"/>
  <c r="G98" i="5"/>
  <c r="C84" i="5"/>
  <c r="D84" i="5"/>
  <c r="E84" i="5"/>
  <c r="F84" i="5"/>
  <c r="G84" i="5"/>
  <c r="C5" i="5"/>
  <c r="D5" i="5"/>
  <c r="E5" i="5"/>
  <c r="F5" i="5"/>
  <c r="G5" i="5"/>
  <c r="C6" i="5"/>
  <c r="D6" i="5"/>
  <c r="E6" i="5"/>
  <c r="F6" i="5"/>
  <c r="G6" i="5"/>
  <c r="C7" i="5"/>
  <c r="D7" i="5"/>
  <c r="E7" i="5"/>
  <c r="F7" i="5"/>
  <c r="G7" i="5"/>
  <c r="C8" i="5"/>
  <c r="D8" i="5"/>
  <c r="E8" i="5"/>
  <c r="F8" i="5"/>
  <c r="G8" i="5"/>
  <c r="C10" i="5"/>
  <c r="D10" i="5"/>
  <c r="E10" i="5"/>
  <c r="F10" i="5"/>
  <c r="G10" i="5"/>
  <c r="C11" i="5"/>
  <c r="D11" i="5"/>
  <c r="E11" i="5"/>
  <c r="F11" i="5"/>
  <c r="G11" i="5"/>
  <c r="B12" i="33"/>
  <c r="B7" i="33"/>
  <c r="C27" i="3"/>
  <c r="B8" i="27"/>
  <c r="B10" i="21"/>
  <c r="A51" i="32"/>
  <c r="F9" i="20"/>
  <c r="A49" i="32"/>
  <c r="G101" i="5"/>
  <c r="F101" i="5"/>
  <c r="E101" i="5"/>
  <c r="D101" i="5"/>
  <c r="C101" i="5"/>
  <c r="B11" i="33"/>
  <c r="B6" i="33"/>
  <c r="B32" i="32"/>
  <c r="B30" i="32"/>
  <c r="D4" i="3"/>
  <c r="C48" i="4"/>
  <c r="E4" i="3"/>
  <c r="D48" i="4"/>
  <c r="F4" i="3"/>
  <c r="E48" i="4"/>
  <c r="G4" i="3"/>
  <c r="F48" i="4"/>
  <c r="H4" i="3"/>
  <c r="G48" i="4"/>
  <c r="C4" i="3"/>
  <c r="B48" i="4"/>
  <c r="B26" i="4"/>
  <c r="C26" i="4"/>
  <c r="D26" i="4"/>
  <c r="E26" i="4"/>
  <c r="F26" i="4"/>
  <c r="G26" i="4"/>
  <c r="B4" i="4"/>
  <c r="C4" i="4"/>
  <c r="D4" i="4"/>
  <c r="E4" i="4"/>
  <c r="F4" i="4"/>
  <c r="G4" i="4"/>
  <c r="B41" i="6"/>
  <c r="C41" i="6"/>
  <c r="D41" i="6"/>
  <c r="E41" i="6"/>
  <c r="F41" i="6"/>
  <c r="G41" i="6"/>
  <c r="B22" i="6"/>
  <c r="C22" i="6"/>
  <c r="D22" i="6"/>
  <c r="E22" i="6"/>
  <c r="F22" i="6"/>
  <c r="G22" i="6"/>
  <c r="B4" i="6"/>
  <c r="C4" i="6"/>
  <c r="D4" i="6"/>
  <c r="E4" i="6"/>
  <c r="F4" i="6"/>
  <c r="G4" i="6"/>
  <c r="B3" i="28"/>
  <c r="C3" i="28"/>
  <c r="D3" i="28"/>
  <c r="E3" i="28"/>
  <c r="F3" i="28"/>
  <c r="G3" i="28"/>
  <c r="C4" i="28"/>
  <c r="C5" i="28"/>
  <c r="D4" i="28"/>
  <c r="D5" i="28"/>
  <c r="E4" i="28"/>
  <c r="E5" i="28"/>
  <c r="F4" i="28"/>
  <c r="F5" i="28"/>
  <c r="G4" i="28"/>
  <c r="G5" i="28"/>
  <c r="B4" i="28"/>
  <c r="B5" i="28"/>
  <c r="B112" i="5"/>
  <c r="C112" i="5"/>
  <c r="D112" i="5"/>
  <c r="E112" i="5"/>
  <c r="F112" i="5"/>
  <c r="G112" i="5"/>
  <c r="B105" i="5"/>
  <c r="C105" i="5"/>
  <c r="D105" i="5"/>
  <c r="E105" i="5"/>
  <c r="F105" i="5"/>
  <c r="G105" i="5"/>
  <c r="B83" i="5"/>
  <c r="C83" i="5"/>
  <c r="D83" i="5"/>
  <c r="E83" i="5"/>
  <c r="F83" i="5"/>
  <c r="G83" i="5"/>
  <c r="B63" i="5"/>
  <c r="C63" i="5"/>
  <c r="D63" i="5"/>
  <c r="E63" i="5"/>
  <c r="F63" i="5"/>
  <c r="G63" i="5"/>
  <c r="B44" i="5"/>
  <c r="C44" i="5"/>
  <c r="D44" i="5"/>
  <c r="E44" i="5"/>
  <c r="F44" i="5"/>
  <c r="G44" i="5"/>
  <c r="B19" i="5"/>
  <c r="C19" i="5"/>
  <c r="D19" i="5"/>
  <c r="E19" i="5"/>
  <c r="F19" i="5"/>
  <c r="G19" i="5"/>
  <c r="B132" i="5"/>
  <c r="C132" i="5"/>
  <c r="D132" i="5"/>
  <c r="E132" i="5"/>
  <c r="F132" i="5"/>
  <c r="G132" i="5"/>
  <c r="B4" i="5"/>
  <c r="C4" i="5"/>
  <c r="D4" i="5"/>
  <c r="E4" i="5"/>
  <c r="F4" i="5"/>
  <c r="G4" i="5"/>
  <c r="B10" i="30"/>
  <c r="E11" i="30"/>
  <c r="D11" i="30"/>
  <c r="B4" i="30"/>
  <c r="C28" i="30"/>
  <c r="E28" i="30"/>
  <c r="D5" i="30"/>
  <c r="E5" i="30"/>
  <c r="D28" i="30"/>
  <c r="K2" i="3"/>
  <c r="D4" i="27"/>
  <c r="D6" i="27"/>
  <c r="D8" i="27"/>
  <c r="B44" i="32"/>
  <c r="B40" i="32"/>
  <c r="B37" i="32"/>
  <c r="B38" i="32"/>
  <c r="B35" i="32"/>
  <c r="B39" i="32"/>
  <c r="B36" i="32"/>
  <c r="B43" i="32"/>
  <c r="B42" i="32"/>
  <c r="B41" i="32"/>
  <c r="B34" i="32"/>
  <c r="B33" i="32"/>
  <c r="B28" i="32"/>
  <c r="F13" i="20"/>
  <c r="F14" i="20"/>
  <c r="F18" i="20"/>
  <c r="F15" i="20"/>
  <c r="F17" i="20"/>
  <c r="C106" i="5"/>
  <c r="D106" i="5"/>
  <c r="E106" i="5"/>
  <c r="F106" i="5"/>
  <c r="G106" i="5"/>
  <c r="B106" i="5"/>
  <c r="E5" i="20"/>
  <c r="C6" i="3"/>
  <c r="B38" i="6"/>
  <c r="C7" i="3"/>
  <c r="B57" i="6"/>
  <c r="C10" i="3"/>
  <c r="C5" i="3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C12" i="3"/>
  <c r="C13" i="3"/>
  <c r="B108" i="5"/>
  <c r="C16" i="3"/>
  <c r="C14" i="3"/>
  <c r="C15" i="3"/>
  <c r="C17" i="3"/>
  <c r="C18" i="3"/>
  <c r="C11" i="3"/>
  <c r="C20" i="3"/>
  <c r="C21" i="3"/>
  <c r="C22" i="3"/>
  <c r="C28" i="3"/>
  <c r="C26" i="3"/>
  <c r="C30" i="3"/>
  <c r="C22" i="30"/>
  <c r="D25" i="30"/>
  <c r="C20" i="30"/>
  <c r="D24" i="30"/>
  <c r="E22" i="30"/>
  <c r="D22" i="30"/>
  <c r="E20" i="30"/>
  <c r="D20" i="30"/>
  <c r="C36" i="13"/>
  <c r="C41" i="13"/>
  <c r="C34" i="13"/>
  <c r="C33" i="13"/>
  <c r="C30" i="13"/>
  <c r="C44" i="13"/>
  <c r="B3" i="21"/>
  <c r="B4" i="21"/>
  <c r="C19" i="6"/>
  <c r="D6" i="3"/>
  <c r="C23" i="6"/>
  <c r="C38" i="6"/>
  <c r="D7" i="3"/>
  <c r="C43" i="6"/>
  <c r="C57" i="6"/>
  <c r="D10" i="3"/>
  <c r="D5" i="3"/>
  <c r="C12" i="5"/>
  <c r="D13" i="3"/>
  <c r="C66" i="5"/>
  <c r="C67" i="5"/>
  <c r="C68" i="5"/>
  <c r="C64" i="5"/>
  <c r="C65" i="5"/>
  <c r="C69" i="5"/>
  <c r="C70" i="5"/>
  <c r="C52" i="5"/>
  <c r="C71" i="5"/>
  <c r="C53" i="5"/>
  <c r="C72" i="5"/>
  <c r="C54" i="5"/>
  <c r="C73" i="5"/>
  <c r="C55" i="5"/>
  <c r="C74" i="5"/>
  <c r="C56" i="5"/>
  <c r="C75" i="5"/>
  <c r="C57" i="5"/>
  <c r="C76" i="5"/>
  <c r="C58" i="5"/>
  <c r="C77" i="5"/>
  <c r="C59" i="5"/>
  <c r="C78" i="5"/>
  <c r="C79" i="5"/>
  <c r="D14" i="3"/>
  <c r="D15" i="3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D12" i="3"/>
  <c r="C108" i="5"/>
  <c r="D16" i="3"/>
  <c r="C128" i="5"/>
  <c r="D17" i="3"/>
  <c r="D18" i="3"/>
  <c r="D11" i="3"/>
  <c r="D20" i="3"/>
  <c r="D21" i="3"/>
  <c r="D22" i="3"/>
  <c r="B5" i="21"/>
  <c r="D7" i="6"/>
  <c r="D19" i="6"/>
  <c r="E6" i="3"/>
  <c r="D23" i="6"/>
  <c r="D38" i="6"/>
  <c r="E7" i="3"/>
  <c r="D43" i="6"/>
  <c r="D57" i="6"/>
  <c r="E10" i="3"/>
  <c r="E5" i="3"/>
  <c r="D12" i="5"/>
  <c r="E13" i="3"/>
  <c r="D66" i="5"/>
  <c r="D67" i="5"/>
  <c r="D68" i="5"/>
  <c r="D64" i="5"/>
  <c r="D65" i="5"/>
  <c r="D69" i="5"/>
  <c r="D70" i="5"/>
  <c r="D52" i="5"/>
  <c r="D71" i="5"/>
  <c r="D53" i="5"/>
  <c r="D72" i="5"/>
  <c r="D54" i="5"/>
  <c r="D73" i="5"/>
  <c r="D55" i="5"/>
  <c r="D74" i="5"/>
  <c r="D56" i="5"/>
  <c r="D75" i="5"/>
  <c r="D57" i="5"/>
  <c r="D76" i="5"/>
  <c r="D58" i="5"/>
  <c r="D77" i="5"/>
  <c r="D59" i="5"/>
  <c r="D78" i="5"/>
  <c r="D79" i="5"/>
  <c r="E14" i="3"/>
  <c r="E15" i="3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E12" i="3"/>
  <c r="D108" i="5"/>
  <c r="E16" i="3"/>
  <c r="D128" i="5"/>
  <c r="E17" i="3"/>
  <c r="E18" i="3"/>
  <c r="E11" i="3"/>
  <c r="E20" i="3"/>
  <c r="E21" i="3"/>
  <c r="E22" i="3"/>
  <c r="B6" i="21"/>
  <c r="E7" i="6"/>
  <c r="E19" i="6"/>
  <c r="F6" i="3"/>
  <c r="E23" i="6"/>
  <c r="E38" i="6"/>
  <c r="F7" i="3"/>
  <c r="E43" i="6"/>
  <c r="E57" i="6"/>
  <c r="F10" i="3"/>
  <c r="F5" i="3"/>
  <c r="E12" i="5"/>
  <c r="F13" i="3"/>
  <c r="E66" i="5"/>
  <c r="E67" i="5"/>
  <c r="E68" i="5"/>
  <c r="E64" i="5"/>
  <c r="E65" i="5"/>
  <c r="E69" i="5"/>
  <c r="E70" i="5"/>
  <c r="E52" i="5"/>
  <c r="E71" i="5"/>
  <c r="E53" i="5"/>
  <c r="E72" i="5"/>
  <c r="E54" i="5"/>
  <c r="E73" i="5"/>
  <c r="E55" i="5"/>
  <c r="E74" i="5"/>
  <c r="E56" i="5"/>
  <c r="E75" i="5"/>
  <c r="E57" i="5"/>
  <c r="E76" i="5"/>
  <c r="E58" i="5"/>
  <c r="E77" i="5"/>
  <c r="E59" i="5"/>
  <c r="E78" i="5"/>
  <c r="E79" i="5"/>
  <c r="F14" i="3"/>
  <c r="F15" i="3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F12" i="3"/>
  <c r="E108" i="5"/>
  <c r="F16" i="3"/>
  <c r="E128" i="5"/>
  <c r="F17" i="3"/>
  <c r="F18" i="3"/>
  <c r="F11" i="3"/>
  <c r="F20" i="3"/>
  <c r="F21" i="3"/>
  <c r="F22" i="3"/>
  <c r="B7" i="21"/>
  <c r="F7" i="6"/>
  <c r="F19" i="6"/>
  <c r="G6" i="3"/>
  <c r="F23" i="6"/>
  <c r="F38" i="6"/>
  <c r="G7" i="3"/>
  <c r="F43" i="6"/>
  <c r="F57" i="6"/>
  <c r="G10" i="3"/>
  <c r="G5" i="3"/>
  <c r="F12" i="5"/>
  <c r="G13" i="3"/>
  <c r="F66" i="5"/>
  <c r="F67" i="5"/>
  <c r="F68" i="5"/>
  <c r="F69" i="5"/>
  <c r="F70" i="5"/>
  <c r="F64" i="5"/>
  <c r="F65" i="5"/>
  <c r="F52" i="5"/>
  <c r="F71" i="5"/>
  <c r="F53" i="5"/>
  <c r="F72" i="5"/>
  <c r="F54" i="5"/>
  <c r="F73" i="5"/>
  <c r="F55" i="5"/>
  <c r="F74" i="5"/>
  <c r="F56" i="5"/>
  <c r="F75" i="5"/>
  <c r="F57" i="5"/>
  <c r="F76" i="5"/>
  <c r="F58" i="5"/>
  <c r="F77" i="5"/>
  <c r="F59" i="5"/>
  <c r="F78" i="5"/>
  <c r="F79" i="5"/>
  <c r="G14" i="3"/>
  <c r="G15" i="3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G12" i="3"/>
  <c r="F108" i="5"/>
  <c r="G16" i="3"/>
  <c r="F128" i="5"/>
  <c r="G17" i="3"/>
  <c r="G18" i="3"/>
  <c r="G11" i="3"/>
  <c r="G20" i="3"/>
  <c r="G21" i="3"/>
  <c r="G22" i="3"/>
  <c r="B8" i="21"/>
  <c r="G7" i="6"/>
  <c r="G19" i="6"/>
  <c r="H6" i="3"/>
  <c r="G23" i="6"/>
  <c r="G38" i="6"/>
  <c r="H7" i="3"/>
  <c r="G43" i="6"/>
  <c r="G57" i="6"/>
  <c r="H10" i="3"/>
  <c r="H5" i="3"/>
  <c r="G12" i="5"/>
  <c r="H13" i="3"/>
  <c r="G66" i="5"/>
  <c r="G67" i="5"/>
  <c r="G68" i="5"/>
  <c r="G69" i="5"/>
  <c r="G70" i="5"/>
  <c r="G64" i="5"/>
  <c r="G65" i="5"/>
  <c r="G52" i="5"/>
  <c r="G71" i="5"/>
  <c r="G53" i="5"/>
  <c r="G72" i="5"/>
  <c r="G54" i="5"/>
  <c r="G73" i="5"/>
  <c r="G55" i="5"/>
  <c r="G74" i="5"/>
  <c r="G56" i="5"/>
  <c r="G75" i="5"/>
  <c r="G57" i="5"/>
  <c r="G76" i="5"/>
  <c r="G58" i="5"/>
  <c r="G77" i="5"/>
  <c r="G59" i="5"/>
  <c r="G78" i="5"/>
  <c r="G79" i="5"/>
  <c r="H14" i="3"/>
  <c r="H15" i="3"/>
  <c r="G36" i="4"/>
  <c r="G37" i="4"/>
  <c r="G38" i="4"/>
  <c r="G39" i="4"/>
  <c r="G40" i="4"/>
  <c r="G41" i="4"/>
  <c r="G42" i="4"/>
  <c r="G43" i="4"/>
  <c r="G45" i="4"/>
  <c r="H12" i="3"/>
  <c r="G108" i="5"/>
  <c r="H16" i="3"/>
  <c r="G128" i="5"/>
  <c r="H17" i="3"/>
  <c r="H18" i="3"/>
  <c r="H11" i="3"/>
  <c r="H20" i="3"/>
  <c r="H21" i="3"/>
  <c r="H22" i="3"/>
  <c r="B9" i="21"/>
  <c r="B11" i="21"/>
  <c r="B49" i="4"/>
  <c r="B50" i="4"/>
  <c r="B51" i="4"/>
  <c r="B52" i="4"/>
  <c r="B53" i="4"/>
  <c r="B54" i="4"/>
  <c r="B55" i="4"/>
  <c r="B56" i="4"/>
  <c r="B57" i="4"/>
  <c r="B58" i="4"/>
  <c r="B59" i="4"/>
  <c r="B67" i="4"/>
  <c r="C11" i="13"/>
  <c r="C9" i="13"/>
  <c r="C25" i="13"/>
  <c r="B15" i="22"/>
  <c r="B9" i="22"/>
  <c r="B6" i="22"/>
  <c r="B3" i="22"/>
  <c r="C14" i="30"/>
  <c r="D30" i="30"/>
  <c r="D29" i="30"/>
  <c r="C8" i="30"/>
  <c r="H26" i="5"/>
  <c r="H25" i="5"/>
  <c r="H23" i="5"/>
  <c r="H24" i="5"/>
  <c r="H21" i="5"/>
  <c r="H22" i="5"/>
  <c r="B12" i="21"/>
  <c r="C23" i="4"/>
  <c r="D23" i="4"/>
  <c r="E23" i="4"/>
  <c r="F23" i="4"/>
  <c r="G23" i="4"/>
  <c r="C49" i="4"/>
  <c r="D49" i="4"/>
  <c r="E49" i="4"/>
  <c r="F49" i="4"/>
  <c r="C50" i="4"/>
  <c r="D50" i="4"/>
  <c r="E50" i="4"/>
  <c r="F50" i="4"/>
  <c r="C51" i="4"/>
  <c r="D51" i="4"/>
  <c r="E51" i="4"/>
  <c r="F51" i="4"/>
  <c r="C52" i="4"/>
  <c r="D52" i="4"/>
  <c r="E52" i="4"/>
  <c r="F52" i="4"/>
  <c r="C53" i="4"/>
  <c r="D53" i="4"/>
  <c r="E53" i="4"/>
  <c r="F53" i="4"/>
  <c r="C54" i="4"/>
  <c r="D54" i="4"/>
  <c r="E54" i="4"/>
  <c r="F54" i="4"/>
  <c r="C55" i="4"/>
  <c r="D55" i="4"/>
  <c r="E55" i="4"/>
  <c r="F55" i="4"/>
  <c r="C56" i="4"/>
  <c r="D56" i="4"/>
  <c r="E56" i="4"/>
  <c r="F56" i="4"/>
  <c r="C57" i="4"/>
  <c r="D57" i="4"/>
  <c r="E57" i="4"/>
  <c r="F57" i="4"/>
  <c r="C58" i="4"/>
  <c r="D58" i="4"/>
  <c r="E58" i="4"/>
  <c r="F58" i="4"/>
  <c r="G58" i="4"/>
  <c r="C59" i="4"/>
  <c r="D59" i="4"/>
  <c r="E59" i="4"/>
  <c r="F59" i="4"/>
  <c r="G59" i="4"/>
  <c r="B60" i="4"/>
  <c r="C60" i="4"/>
  <c r="D60" i="4"/>
  <c r="E60" i="4"/>
  <c r="F60" i="4"/>
  <c r="G60" i="4"/>
  <c r="B61" i="4"/>
  <c r="C61" i="4"/>
  <c r="D61" i="4"/>
  <c r="E61" i="4"/>
  <c r="F61" i="4"/>
  <c r="G61" i="4"/>
  <c r="B62" i="4"/>
  <c r="C62" i="4"/>
  <c r="D62" i="4"/>
  <c r="E62" i="4"/>
  <c r="F62" i="4"/>
  <c r="G62" i="4"/>
  <c r="B63" i="4"/>
  <c r="C63" i="4"/>
  <c r="D63" i="4"/>
  <c r="E63" i="4"/>
  <c r="F63" i="4"/>
  <c r="G63" i="4"/>
  <c r="B64" i="4"/>
  <c r="C64" i="4"/>
  <c r="D64" i="4"/>
  <c r="E64" i="4"/>
  <c r="F64" i="4"/>
  <c r="G64" i="4"/>
  <c r="B65" i="4"/>
  <c r="C65" i="4"/>
  <c r="D65" i="4"/>
  <c r="E65" i="4"/>
  <c r="F65" i="4"/>
  <c r="G65" i="4"/>
  <c r="B66" i="4"/>
  <c r="C66" i="4"/>
  <c r="D66" i="4"/>
  <c r="E66" i="4"/>
  <c r="F66" i="4"/>
  <c r="C67" i="4"/>
  <c r="D67" i="4"/>
  <c r="E67" i="4"/>
  <c r="F67" i="4"/>
  <c r="G67" i="4"/>
  <c r="C8" i="13"/>
  <c r="D8" i="13"/>
  <c r="E8" i="13"/>
  <c r="F8" i="13"/>
  <c r="G8" i="13"/>
  <c r="H8" i="13"/>
  <c r="D11" i="13"/>
  <c r="D9" i="13"/>
  <c r="E11" i="13"/>
  <c r="E9" i="13"/>
  <c r="F11" i="13"/>
  <c r="F9" i="13"/>
  <c r="G11" i="13"/>
  <c r="G9" i="13"/>
  <c r="H11" i="13"/>
  <c r="H9" i="13"/>
  <c r="D21" i="13"/>
  <c r="D15" i="13"/>
  <c r="E21" i="13"/>
  <c r="E15" i="13"/>
  <c r="F21" i="13"/>
  <c r="F15" i="13"/>
  <c r="G21" i="13"/>
  <c r="G15" i="13"/>
  <c r="H21" i="13"/>
  <c r="H15" i="13"/>
  <c r="D25" i="13"/>
  <c r="E25" i="13"/>
  <c r="F25" i="13"/>
  <c r="G25" i="13"/>
  <c r="H25" i="13"/>
  <c r="C29" i="13"/>
  <c r="D29" i="13"/>
  <c r="E29" i="13"/>
  <c r="F29" i="13"/>
  <c r="G29" i="13"/>
  <c r="H29" i="13"/>
  <c r="D33" i="13"/>
  <c r="D30" i="13"/>
  <c r="E33" i="13"/>
  <c r="E30" i="13"/>
  <c r="F33" i="13"/>
  <c r="F30" i="13"/>
  <c r="G33" i="13"/>
  <c r="G30" i="13"/>
  <c r="H33" i="13"/>
  <c r="H30" i="13"/>
  <c r="D36" i="13"/>
  <c r="D41" i="13"/>
  <c r="D34" i="13"/>
  <c r="E36" i="13"/>
  <c r="E41" i="13"/>
  <c r="E34" i="13"/>
  <c r="F36" i="13"/>
  <c r="F41" i="13"/>
  <c r="F34" i="13"/>
  <c r="G36" i="13"/>
  <c r="G41" i="13"/>
  <c r="G34" i="13"/>
  <c r="H41" i="13"/>
  <c r="D44" i="13"/>
  <c r="E44" i="13"/>
  <c r="F44" i="13"/>
  <c r="G44" i="13"/>
  <c r="H44" i="13"/>
  <c r="C46" i="13"/>
  <c r="D46" i="13"/>
  <c r="E46" i="13"/>
  <c r="F46" i="13"/>
  <c r="G46" i="13"/>
  <c r="H46" i="13"/>
  <c r="A3" i="6"/>
  <c r="A21" i="6"/>
  <c r="A40" i="6"/>
  <c r="H20" i="5"/>
  <c r="B41" i="5"/>
  <c r="C41" i="5"/>
  <c r="D41" i="5"/>
  <c r="E41" i="5"/>
  <c r="F41" i="5"/>
  <c r="G41" i="5"/>
  <c r="A45" i="5"/>
  <c r="A46" i="5"/>
  <c r="B60" i="5"/>
  <c r="C60" i="5"/>
  <c r="D60" i="5"/>
  <c r="E60" i="5"/>
  <c r="F60" i="5"/>
  <c r="G60" i="5"/>
  <c r="A64" i="5"/>
  <c r="A65" i="5"/>
  <c r="A104" i="5"/>
  <c r="A17" i="3"/>
  <c r="C31" i="3"/>
  <c r="D31" i="3"/>
  <c r="C3" i="16"/>
  <c r="D3" i="16"/>
  <c r="E3" i="16"/>
  <c r="F3" i="16"/>
  <c r="G3" i="16"/>
  <c r="H3" i="16"/>
  <c r="C5" i="16"/>
  <c r="D5" i="16"/>
  <c r="E5" i="16"/>
  <c r="F5" i="16"/>
  <c r="G5" i="16"/>
  <c r="H5" i="16"/>
  <c r="C7" i="16"/>
  <c r="C13" i="16"/>
  <c r="C14" i="16"/>
  <c r="C6" i="16" a="1"/>
  <c r="C6" i="16"/>
  <c r="D7" i="16"/>
  <c r="D13" i="16"/>
  <c r="D14" i="16"/>
  <c r="D6" i="16" a="1"/>
  <c r="D6" i="16"/>
  <c r="E7" i="16"/>
  <c r="E13" i="16"/>
  <c r="E14" i="16"/>
  <c r="E6" i="16" a="1"/>
  <c r="E6" i="16"/>
  <c r="F7" i="16"/>
  <c r="F13" i="16"/>
  <c r="F14" i="16"/>
  <c r="F6" i="16" a="1"/>
  <c r="F6" i="16"/>
  <c r="G7" i="16"/>
  <c r="G13" i="16"/>
  <c r="G14" i="16"/>
  <c r="G6" i="16" a="1"/>
  <c r="G6" i="16"/>
  <c r="H7" i="16"/>
  <c r="H13" i="16"/>
  <c r="H14" i="16"/>
  <c r="H6" i="16" a="1"/>
  <c r="H6" i="16"/>
  <c r="C17" i="16"/>
  <c r="D17" i="16"/>
  <c r="E17" i="16"/>
  <c r="F17" i="16"/>
  <c r="G17" i="16"/>
  <c r="H17" i="16"/>
  <c r="C24" i="16"/>
  <c r="C22" i="16"/>
  <c r="C19" i="16"/>
  <c r="D24" i="16"/>
  <c r="D22" i="16"/>
  <c r="D19" i="16"/>
  <c r="E24" i="16"/>
  <c r="E22" i="16"/>
  <c r="E19" i="16"/>
  <c r="F24" i="16"/>
  <c r="F22" i="16"/>
  <c r="F19" i="16"/>
  <c r="G24" i="16"/>
  <c r="G22" i="16"/>
  <c r="G19" i="16"/>
  <c r="H24" i="16"/>
  <c r="H22" i="16"/>
  <c r="H19" i="16"/>
  <c r="C32" i="16"/>
  <c r="C36" i="16" a="1"/>
  <c r="C36" i="16"/>
  <c r="C34" i="16" a="1"/>
  <c r="C34" i="16"/>
  <c r="C31" i="16"/>
  <c r="D32" i="16"/>
  <c r="D36" i="16" a="1"/>
  <c r="D36" i="16"/>
  <c r="D34" i="16" a="1"/>
  <c r="D34" i="16"/>
  <c r="D31" i="16"/>
  <c r="E32" i="16"/>
  <c r="E36" i="16" a="1"/>
  <c r="E36" i="16"/>
  <c r="E34" i="16" a="1"/>
  <c r="E34" i="16"/>
  <c r="E31" i="16"/>
  <c r="F32" i="16"/>
  <c r="F36" i="16" a="1"/>
  <c r="F36" i="16"/>
  <c r="F34" i="16" a="1"/>
  <c r="F34" i="16"/>
  <c r="F31" i="16"/>
  <c r="G32" i="16"/>
  <c r="G36" i="16" a="1"/>
  <c r="G36" i="16"/>
  <c r="G34" i="16" a="1"/>
  <c r="G34" i="16"/>
  <c r="G31" i="16"/>
  <c r="H32" i="16"/>
  <c r="H36" i="16" a="1"/>
  <c r="H36" i="16"/>
  <c r="H34" i="16" a="1"/>
  <c r="H34" i="16"/>
  <c r="H31" i="16"/>
  <c r="C40" i="16"/>
  <c r="D40" i="16"/>
  <c r="E40" i="16"/>
  <c r="F40" i="16"/>
  <c r="G40" i="16"/>
  <c r="H40" i="16"/>
  <c r="C42" i="16"/>
  <c r="D42" i="16"/>
  <c r="E42" i="16"/>
  <c r="F42" i="16"/>
  <c r="G42" i="16"/>
  <c r="H42" i="16"/>
  <c r="C47" i="16" a="1"/>
  <c r="C47" i="16"/>
  <c r="D47" i="16" a="1"/>
  <c r="D47" i="16"/>
  <c r="E47" i="16" a="1"/>
  <c r="E47" i="16"/>
  <c r="F47" i="16" a="1"/>
  <c r="F47" i="16"/>
  <c r="G47" i="16" a="1"/>
  <c r="G47" i="16"/>
  <c r="H47" i="16" a="1"/>
  <c r="H47" i="16"/>
  <c r="C57" i="16"/>
  <c r="D57" i="16"/>
  <c r="E57" i="16"/>
  <c r="F57" i="16"/>
  <c r="G57" i="16"/>
  <c r="H57" i="16"/>
  <c r="C58" i="16"/>
  <c r="D58" i="16"/>
  <c r="E58" i="16"/>
  <c r="F58" i="16"/>
  <c r="G58" i="16"/>
  <c r="H58" i="16"/>
  <c r="C59" i="16"/>
  <c r="D59" i="16"/>
  <c r="E59" i="16"/>
  <c r="F59" i="16"/>
  <c r="G59" i="16"/>
  <c r="H59" i="16"/>
  <c r="D61" i="16"/>
  <c r="E61" i="16"/>
  <c r="F61" i="16"/>
  <c r="G61" i="16"/>
  <c r="H61" i="16"/>
  <c r="C62" i="16"/>
  <c r="D62" i="16"/>
  <c r="E62" i="16"/>
  <c r="F62" i="16"/>
  <c r="G62" i="16"/>
  <c r="H62" i="16"/>
  <c r="C66" i="16"/>
  <c r="D66" i="16"/>
  <c r="E66" i="16"/>
  <c r="F66" i="16"/>
  <c r="G66" i="16"/>
  <c r="H66" i="16"/>
  <c r="C3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Sławek</author>
  </authors>
  <commentList>
    <comment ref="C13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Wzrost składników aktywów dajemy z minusem, gdyż zmniejsza się gotówka</t>
        </r>
      </text>
    </comment>
    <comment ref="C14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>Wzrost składników pasywów dajemy z plusem, gdyż zwiększa się gotówka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C5" authorId="0" shapeId="0" xr:uid="{720F918D-5E6C-4619-8D5D-6A88B4ED1065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cene sprzedaży ustalamy w arkuszu 0.Analiza konkurencji</t>
        </r>
      </text>
    </comment>
    <comment ref="C11" authorId="0" shapeId="0" xr:uid="{525D1831-6316-4F1C-A398-82182492258E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cene sprzedaży ustalamy w arkuszu 0.Analiza konkurencji</t>
        </r>
      </text>
    </comment>
    <comment ref="D20" authorId="0" shapeId="0" xr:uid="{00000000-0006-0000-0D00-000001000000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narzut jest wylicznay:
Dla przykładu: cena wytworzenia = 80 PLN, cena sprzedaży = 100 PLN, zysk = 20 PLN, wtedy:
Narzut procentowy = 20 PLN / 80 PLN = 25 proc.</t>
        </r>
      </text>
    </comment>
    <comment ref="E20" authorId="0" shapeId="0" xr:uid="{00000000-0006-0000-0D00-000002000000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marża jest wyliczna: 
Dla przykładu: cena wytworzenia = 80 PLN, cena sprzedaży = 100 PLN, zysk = 20 PLN, wtedy:
Marża procentowa = 20 PLN / 100 PLN = 20 proc.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E3" authorId="0" shapeId="0" xr:uid="{099B9309-DD5A-414F-ABB8-87BF194E97FF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Urząd Pracy</t>
        </r>
      </text>
    </comment>
    <comment ref="F3" authorId="0" shapeId="0" xr:uid="{7834FDA2-AF08-481B-8BA5-F46E5BD104E1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w Panelu</t>
        </r>
      </text>
    </comment>
    <comment ref="C4" authorId="0" shapeId="0" xr:uid="{00000000-0006-0000-0E00-000001000000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w tej kwocie są np.. Pieniązki na środki trwałe, wynag. za 2 m-ce i mat. na 2 m-ce dla h2=2</t>
        </r>
      </text>
    </comment>
    <comment ref="F5" authorId="0" shapeId="0" xr:uid="{C9A235FC-D838-4DD6-B633-C896A791954D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  <comment ref="B7" authorId="0" shapeId="0" xr:uid="{95963A06-949F-4405-B57C-EE28A8F2F86C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zmniejszenia są naliczane proporcjonalnie z kwoty całkowitej minus kwota na materiały z liczbę miesięcy, którą nie będę kredytował</t>
        </r>
      </text>
    </comment>
    <comment ref="F9" authorId="0" shapeId="0" xr:uid="{34FCF4FA-8703-462C-90BD-EF17E2FA7AFD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Sławek</author>
  </authors>
  <commentList>
    <comment ref="C46" authorId="0" shapeId="0" xr:uid="{00000000-0006-0000-0600-000001000000}">
      <text>
        <r>
          <rPr>
            <b/>
            <sz val="9"/>
            <color indexed="8"/>
            <rFont val="Tahoma"/>
            <family val="2"/>
            <charset val="238"/>
          </rPr>
          <t>zera oznaczają równość aktywów i pasywów. W tym miejscu musi być zero.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A4" authorId="0" shapeId="0" xr:uid="{89A7ACC4-44D8-4201-9939-E401CA7F6D90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wpływ1</t>
        </r>
      </text>
    </comment>
    <comment ref="A5" authorId="0" shapeId="0" xr:uid="{08F13CE5-6170-4532-A0E5-0F4E9D2D3451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 2</t>
        </r>
      </text>
    </comment>
    <comment ref="A6" authorId="0" shapeId="0" xr:uid="{42632168-5390-4709-8F3B-608BEFFDB4EC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 3</t>
        </r>
      </text>
    </comment>
    <comment ref="A7" authorId="0" shapeId="0" xr:uid="{DC9E8615-2182-40B7-94FC-5FB9FA49FC28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 4</t>
        </r>
      </text>
    </comment>
    <comment ref="A8" authorId="0" shapeId="0" xr:uid="{AB63F2B1-2190-403C-9D14-FC65BD46E813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 5</t>
        </r>
      </text>
    </comment>
    <comment ref="A9" authorId="0" shapeId="0" xr:uid="{3640FA27-58B8-4165-8572-4EDCE1344D4F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wpływ 6</t>
        </r>
      </text>
    </comment>
    <comment ref="B10" authorId="0" shapeId="0" xr:uid="{138A855F-66AE-4D80-9AEF-D36745561158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stopę dyskontową zmieniamy na arkuszu 0.Panel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D3" authorId="0" shapeId="0" xr:uid="{F11E650F-FE78-46D1-A823-A986DF1E2815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w arkuszu Panel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B6" authorId="0" shapeId="0" xr:uid="{C4CB306E-C13F-43B7-989D-EA0BA3B37A27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średnia cena ustalana na podsawie wpisów z analizy rynku i konkurencji w arkuszu 0.Analiza konkurencji</t>
        </r>
      </text>
    </comment>
    <comment ref="B7" authorId="0" shapeId="0" xr:uid="{3709981F-6C12-4780-B150-7A2FB97B0CC2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Procent o ile cena sprzedaży będzie niższa od średniej ceny konkurencji dla produktu 1</t>
        </r>
      </text>
    </comment>
    <comment ref="B11" authorId="0" shapeId="0" xr:uid="{9591D3F0-6EB0-45DD-8F11-D788F3ECB13B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Procent o ile cena sprzedaży będzie niższa od średniej ceny konkurencji dla produktu 2</t>
        </r>
      </text>
    </comment>
    <comment ref="A16" authorId="0" shapeId="0" xr:uid="{AD66D8EF-E324-44D7-9A59-A2E1F92A4F83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Jednostkowy koszt wytworzenia</t>
        </r>
      </text>
    </comment>
    <comment ref="A17" authorId="0" shapeId="0" xr:uid="{6BEC6807-476A-41A4-9A39-7D57593A87AF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Zmniejszenie</t>
        </r>
      </text>
    </comment>
    <comment ref="A18" authorId="0" shapeId="0" xr:uid="{0E03FF08-F921-41D5-B161-8A75935A5158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Zwiększenie</t>
        </r>
      </text>
    </comment>
    <comment ref="A47" authorId="0" shapeId="0" xr:uid="{00000000-0006-0000-0100-000001000000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ile miesięcy chce skredytować z kosztów stałych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B6" authorId="0" shapeId="0" xr:uid="{1BAD7122-28F4-47E5-94E7-0A6EF30C885A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w arkuszu Panel</t>
        </r>
      </text>
    </comment>
    <comment ref="B11" authorId="0" shapeId="0" xr:uid="{714D5FE2-0E72-47B5-B0D8-924FBD198A4B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w arkuszu Panel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K2" authorId="0" shapeId="0" xr:uid="{425DC43D-D174-4736-8985-D8BCC4BBCC27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Liczbę wspólników można zmienić w arkuszu 0.Panel</t>
        </r>
      </text>
    </comment>
    <comment ref="C29" authorId="0" shapeId="0" xr:uid="{74278EF1-0A28-488F-88AF-E5DE0F4ED5EF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Komórka do edycji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B106" authorId="0" shapeId="0" xr:uid="{73A6B88A-C9FC-41DB-9D8F-FD3F2DF3E64C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pole powiązane z arkuszem 13.kredyt</t>
        </r>
      </text>
    </comment>
    <comment ref="B113" authorId="0" shapeId="0" xr:uid="{578E1331-B2DE-4995-A03F-716101B58EA9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114" authorId="0" shapeId="0" xr:uid="{C46C57FC-125C-4CFD-B5FE-DB252704974D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do uzupełnienia własnego</t>
        </r>
      </text>
    </comment>
    <comment ref="A138" authorId="0" shapeId="0" xr:uid="{C5FA9280-7060-4FCE-8AD2-43126B749E44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inne paliwo niż energia</t>
        </r>
      </text>
    </comment>
    <comment ref="A141" authorId="0" shapeId="0" xr:uid="{835FEB86-48AE-4AC5-891B-25B97B52F4AB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koszt napraw, paliwa i smarów, robocizny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N6" authorId="0" shapeId="0" xr:uid="{FEAE7A43-3C7B-4C79-88C1-C97FA7A4E218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koszt jednostkowy jest równy 0zł ponieważ wszystko robią współnicy firmy
</t>
        </r>
      </text>
    </comment>
    <comment ref="N7" authorId="0" shapeId="0" xr:uid="{84FEA167-2339-4DE5-8894-C3AC04430E75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koszt obszycia jest równy 0zł ponieważ wszystko robią współnicy firmy</t>
        </r>
      </text>
    </comment>
    <comment ref="N22" authorId="0" shapeId="0" xr:uid="{8F279EA9-F4DC-4E5E-955B-89A271FEFCDB}">
      <text>
        <r>
          <rPr>
            <b/>
            <sz val="9"/>
            <color indexed="81"/>
            <rFont val="Tahoma"/>
            <charset val="1"/>
          </rPr>
          <t>jw:</t>
        </r>
        <r>
          <rPr>
            <sz val="9"/>
            <color indexed="81"/>
            <rFont val="Tahoma"/>
            <charset val="1"/>
          </rPr>
          <t xml:space="preserve">
koszt jednostkowy jest równy 0zł ponieważ wszystko robią współnicy firmy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B3" authorId="0" shapeId="0" xr:uid="{CAD28F03-59A6-4E3C-B06B-38DB91E9B652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  <comment ref="B4" authorId="0" shapeId="0" xr:uid="{32E39A83-6443-4BBC-968E-EB03D94305B4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suma wydatków za pierwszy rok z nakładami na środki trwałe, z kosztami wynagrodzeń za cały rok</t>
        </r>
      </text>
    </comment>
    <comment ref="B5" authorId="0" shapeId="0" xr:uid="{02FA84B7-5387-4167-A879-BB0FE4B825C4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koszty materiałów do produkcji i koszty usług obcych. Dodatkowa kwota którą należy zabezpieczyć na materiały do produkcji.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D4" authorId="0" shapeId="0" xr:uid="{ADF0D1A4-BD5D-488D-BF49-6B52D2757342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  <comment ref="D5" authorId="0" shapeId="0" xr:uid="{3D439D46-64B9-4B84-BC13-55869FB593F8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  <comment ref="D8" authorId="0" shapeId="0" xr:uid="{0F9D804A-2611-40A5-8316-6FFD8EF44706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JKW ustalany jest na arkuszu 7.prototyp_produktu_JKW</t>
        </r>
      </text>
    </comment>
    <comment ref="D9" authorId="0" shapeId="0" xr:uid="{E730F8F6-3DFC-4C04-AD8C-0356ADD46E51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JKW ustalany jest na arkuszu 7.prototyp_produktu_JKW</t>
        </r>
      </text>
    </comment>
    <comment ref="D12" authorId="0" shapeId="0" xr:uid="{197F3F3A-70AF-47F5-AAD5-50C06E3755B3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wyliczone z procenta kwoty na materiały dzielone przez JKW</t>
        </r>
      </text>
    </comment>
    <comment ref="D13" authorId="0" shapeId="0" xr:uid="{3052781E-981D-4308-B9F4-1DAF6B5AFAE3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wyliczone z procenta kwoty na materiały dzielone przez JKW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jw</author>
  </authors>
  <commentList>
    <comment ref="B4" authorId="0" shapeId="0" xr:uid="{C3049E23-0BFD-4F7D-AAB9-D46A334A9C27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  <comment ref="B7" authorId="0" shapeId="0" xr:uid="{D4CD77A4-46F1-49E4-8271-00E5A75088E1}">
      <text>
        <r>
          <rPr>
            <b/>
            <sz val="9"/>
            <color indexed="81"/>
            <rFont val="Tahoma"/>
            <family val="2"/>
            <charset val="238"/>
          </rPr>
          <t>jw:</t>
        </r>
        <r>
          <rPr>
            <sz val="9"/>
            <color indexed="81"/>
            <rFont val="Tahoma"/>
            <family val="2"/>
            <charset val="238"/>
          </rPr>
          <t xml:space="preserve">
zmieniamy na arkuszu 0.Panel</t>
        </r>
      </text>
    </comment>
  </commentList>
</comments>
</file>

<file path=xl/sharedStrings.xml><?xml version="1.0" encoding="utf-8"?>
<sst xmlns="http://schemas.openxmlformats.org/spreadsheetml/2006/main" count="558" uniqueCount="405">
  <si>
    <t>PROGNOZA</t>
  </si>
  <si>
    <t>Rachunek zysków i strat</t>
  </si>
  <si>
    <t>Pozycja</t>
  </si>
  <si>
    <t>A. Przychody ogółem, w tym:</t>
  </si>
  <si>
    <t xml:space="preserve">  Sprzedaż produktów i usług</t>
  </si>
  <si>
    <t xml:space="preserve">  Sprzedaż materiałów i towarów</t>
  </si>
  <si>
    <t xml:space="preserve">  Zmiana stanu produktów</t>
  </si>
  <si>
    <t xml:space="preserve">  Zyski nadzwyczajne</t>
  </si>
  <si>
    <t>B. Koszty ogółem:</t>
  </si>
  <si>
    <t xml:space="preserve">  Amortyzacja</t>
  </si>
  <si>
    <t xml:space="preserve">  Wynagrodzenie i pochodne</t>
  </si>
  <si>
    <t xml:space="preserve">  Zakup usług</t>
  </si>
  <si>
    <t xml:space="preserve">  Koszty finansowe (np. odsetki)</t>
  </si>
  <si>
    <t xml:space="preserve">  Pozostałe koszty</t>
  </si>
  <si>
    <t xml:space="preserve">  Straty nadzwyczajne</t>
  </si>
  <si>
    <t>C. Dochód (strata) brutto (A-B)</t>
  </si>
  <si>
    <t>D. Podatek dochodowy</t>
  </si>
  <si>
    <t>E. Zysk netto (C-D)</t>
  </si>
  <si>
    <t>suma</t>
  </si>
  <si>
    <t>Wartość początkowa</t>
  </si>
  <si>
    <t>Amortyzacja roczna (metodą liniową - 20% rocznie)</t>
  </si>
  <si>
    <t>usługi pocztowe i kurierskie</t>
  </si>
  <si>
    <t>Przychody</t>
  </si>
  <si>
    <t>BILANS</t>
  </si>
  <si>
    <t>...............................................</t>
  </si>
  <si>
    <t>(nazwa jednostki)</t>
  </si>
  <si>
    <t>na dzień</t>
  </si>
  <si>
    <t>Bilans sporządzony zgodnie z załącznikiem do rozporządzenia Ministra Finansów z 15.11.2001 (DZ. U. 137poz. 1539z późn.zm.)</t>
  </si>
  <si>
    <t>Wiersz</t>
  </si>
  <si>
    <t>AKTYWA</t>
  </si>
  <si>
    <t xml:space="preserve">Stan na </t>
  </si>
  <si>
    <t>PASYWA</t>
  </si>
  <si>
    <t>A</t>
  </si>
  <si>
    <t>Aktywa trwałe</t>
  </si>
  <si>
    <t>Fundusze własne</t>
  </si>
  <si>
    <t>I</t>
  </si>
  <si>
    <t>Wartości niematerialne i prawne</t>
  </si>
  <si>
    <t>Fundusz statutowy</t>
  </si>
  <si>
    <t>II</t>
  </si>
  <si>
    <t>Rzeczowe aktywa trwałe</t>
  </si>
  <si>
    <t>Fundusz z aktualizacji wyceny</t>
  </si>
  <si>
    <t>III</t>
  </si>
  <si>
    <t>Należności długoterminowe</t>
  </si>
  <si>
    <t>Wynik finansowy netto za rok obrotowy</t>
  </si>
  <si>
    <t>IV</t>
  </si>
  <si>
    <t>Inwestycje długoterminowe</t>
  </si>
  <si>
    <t>V</t>
  </si>
  <si>
    <t>Długoterminowe rozliczenia międzyokresowe</t>
  </si>
  <si>
    <t>B</t>
  </si>
  <si>
    <t>Aktywa obrotowe</t>
  </si>
  <si>
    <t>Zobowiązania i rezerwy na zobowiązania</t>
  </si>
  <si>
    <t>Zobowiązania długoterminowe z tytułu kredytów i pożyczek</t>
  </si>
  <si>
    <t>Należności krótkoterminowe</t>
  </si>
  <si>
    <t>Zobowiązania krótkoterminowe i fundusze specjalne</t>
  </si>
  <si>
    <t>Kredyty i pożyczki</t>
  </si>
  <si>
    <t>Inne zobowiązania</t>
  </si>
  <si>
    <t>Fundusze specjalne</t>
  </si>
  <si>
    <t>Inwestycje krótkoterminowe</t>
  </si>
  <si>
    <t>Rezerwy na zobowiązania</t>
  </si>
  <si>
    <t>Środki pieniężne</t>
  </si>
  <si>
    <t>Rozliczenia międzyokresowe</t>
  </si>
  <si>
    <t>Pozostałe aktywa finansowe</t>
  </si>
  <si>
    <t>Rozliczenia międzyokresowe przychodów</t>
  </si>
  <si>
    <t>C</t>
  </si>
  <si>
    <t>Krótkoterminowe rozliczenia międzyokresowe</t>
  </si>
  <si>
    <t>Inne rozliczenia międzyokresowe</t>
  </si>
  <si>
    <t>Suma bilansowa</t>
  </si>
  <si>
    <t>Wyszczególnienie</t>
  </si>
  <si>
    <t>Stan na</t>
  </si>
  <si>
    <t>A. Przepływy środków pieniężnych z działalności operacyjnej</t>
  </si>
  <si>
    <t>I. Zysk (strata) netto</t>
  </si>
  <si>
    <t>II. Korekty razem</t>
  </si>
  <si>
    <t>1. Amortyzacja</t>
  </si>
  <si>
    <t>2. Zyski (straty) z tytułu różnic kursowych</t>
  </si>
  <si>
    <t>3. Odsetki i udziały w zyskach (dywidendy)</t>
  </si>
  <si>
    <t>4. Zysk (strata) z działalności inwestycyjnej</t>
  </si>
  <si>
    <t>5. Zmiana stanu rezerw</t>
  </si>
  <si>
    <t>6. Zmiana stanu zapasów</t>
  </si>
  <si>
    <t>7. Zmiana stanu należności</t>
  </si>
  <si>
    <t>8. Zmiana stanu zobowiązań krótkoterminowych, z wyjątkiem pożyczek i kredytów</t>
  </si>
  <si>
    <t>9. Zmiana stanu rozliczeń międzyokresowych</t>
  </si>
  <si>
    <t>10. Inne korekty</t>
  </si>
  <si>
    <t>III. Przepływy pieniężne netto z działalności operacyjnej (I+/-II)</t>
  </si>
  <si>
    <t>B. Przepływy środków pieniężnych z działalności inwestycyjnej</t>
  </si>
  <si>
    <t>I. Wpływy</t>
  </si>
  <si>
    <t>1. Zbycie wartości niematerialnych i prawnych oraz rzeczowych aktywów trwałych</t>
  </si>
  <si>
    <t>2. Zbycie inwestycji w nieruchomości oraz wartości niematerialne i prawne</t>
  </si>
  <si>
    <t>3. Z aktywów finansowych, w tym:</t>
  </si>
  <si>
    <t>a) w jednostkach powiązanych</t>
  </si>
  <si>
    <t>b) w pozostałych jednostkach</t>
  </si>
  <si>
    <t>- zbycie aktywów finansowych,</t>
  </si>
  <si>
    <t>- dywidendy i udziały w zyskach</t>
  </si>
  <si>
    <t>- spłata udzielonych pożyczek długoterminowych</t>
  </si>
  <si>
    <t>- odsetki</t>
  </si>
  <si>
    <t>- inne wpływy z aktywów finansowych</t>
  </si>
  <si>
    <t>4. Inne wpływy inwestycyjne</t>
  </si>
  <si>
    <t>II. Wydatki</t>
  </si>
  <si>
    <t>1. Nabycie wartości niematerialnych i prawnych oraz rzeczowych aktywów trwałych</t>
  </si>
  <si>
    <r>
      <t>2.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Inwestycje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nieruchomości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oraz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wartości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niematerialne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i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prawne</t>
    </r>
  </si>
  <si>
    <t>3. Na aktywa finansowe, w tym:</t>
  </si>
  <si>
    <t>- nabycie aktywów finansowych</t>
  </si>
  <si>
    <t>- udzielone pożyczki długoterminowe</t>
  </si>
  <si>
    <t>4. Inne wydatki inwestycyjne</t>
  </si>
  <si>
    <t>III. Przepływy pieniężne netto z działalności inwestycyjnej (I-II)</t>
  </si>
  <si>
    <t>C. Przepływy środków pieniężnych z działalności finansowej</t>
  </si>
  <si>
    <t>1. Wpływy netto z wydania udziałów i innych instrumentów kapitałowych oraz dopłat do kapitału</t>
  </si>
  <si>
    <t>2. Kredyty i pożyczki</t>
  </si>
  <si>
    <t>3. Emisja dłużnych papierów wartościowych</t>
  </si>
  <si>
    <t>4. Inne wpływy finansowe</t>
  </si>
  <si>
    <t>1. Nabycie udziałów (akcji) własnych</t>
  </si>
  <si>
    <t>2. Dywidendy i inne wypłaty na rzecz właścicieli</t>
  </si>
  <si>
    <r>
      <t>3.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Inne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niż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wypłaty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na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rzecz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właścicieli,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wydatki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z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tytułu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podziału</t>
    </r>
    <r>
      <rPr>
        <sz val="6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zysku</t>
    </r>
  </si>
  <si>
    <t>4. Spłaty kredytów i pożyczek</t>
  </si>
  <si>
    <t>5. Wykup dłużnych papierów wartościowych</t>
  </si>
  <si>
    <t>6. Z tytułu innych zobowiązań finansowych</t>
  </si>
  <si>
    <t>7. Płatności zobowiązań z tytułu umów leasingu finansowego</t>
  </si>
  <si>
    <t>8. Odsetki</t>
  </si>
  <si>
    <t>9. Inne wydatki finansowe</t>
  </si>
  <si>
    <t>III. Przepływy pieniężne netto z działalności finansowej (I-II)</t>
  </si>
  <si>
    <t>D. Przepływy pieniężne netto, razem (A.III+/-B.III+/-C.III)</t>
  </si>
  <si>
    <t>E. Bilansowa zmiana stanu środków pieniężnych, w tym:</t>
  </si>
  <si>
    <t>- zmiana stanu środków pieniężnych z tytułu różnic kursowych</t>
  </si>
  <si>
    <t>F. Środki pieniężne na początek okresu</t>
  </si>
  <si>
    <t>G. Środki pieniężne na koniec okresu (F+/-D), w tym:</t>
  </si>
  <si>
    <t>- o ograniczonej możliwości dysponowania</t>
  </si>
  <si>
    <t>RACHUNEK PRZEPŁYWÓW PIENIĘŻNYCH</t>
  </si>
  <si>
    <t>Wynagrodzenia rocznie</t>
  </si>
  <si>
    <t>kwota na produkt 1</t>
  </si>
  <si>
    <t>kwota na produkt 2</t>
  </si>
  <si>
    <t xml:space="preserve">JKC_produktu1 </t>
  </si>
  <si>
    <t>JKC_produktu2</t>
  </si>
  <si>
    <t>LSZproduktu1</t>
  </si>
  <si>
    <t>sztuki</t>
  </si>
  <si>
    <t>marza</t>
  </si>
  <si>
    <t>narzut</t>
  </si>
  <si>
    <t>netto</t>
  </si>
  <si>
    <t>-raty kapiatałowe za dany rok</t>
  </si>
  <si>
    <t>13-pensja</t>
  </si>
  <si>
    <t>liczba wspólników</t>
  </si>
  <si>
    <t>Koszty stałe</t>
  </si>
  <si>
    <t>zysk netto -podział:</t>
  </si>
  <si>
    <t>suma:</t>
  </si>
  <si>
    <t>Koszty zmienne</t>
  </si>
  <si>
    <t>Lp.</t>
  </si>
  <si>
    <t>1.</t>
  </si>
  <si>
    <t>Robocizna</t>
  </si>
  <si>
    <t>Razem:</t>
  </si>
  <si>
    <t>2.</t>
  </si>
  <si>
    <t>ilość</t>
  </si>
  <si>
    <t>koszt jedn.</t>
  </si>
  <si>
    <t>Tkanina</t>
  </si>
  <si>
    <t>Wkład klejowy</t>
  </si>
  <si>
    <t>1 mb.</t>
  </si>
  <si>
    <t>Dodatki krawiecki</t>
  </si>
  <si>
    <t>Guziki</t>
  </si>
  <si>
    <t>Nici</t>
  </si>
  <si>
    <t>1 km</t>
  </si>
  <si>
    <t>Koszt (zł)</t>
  </si>
  <si>
    <t>Zamek błyskawiczny</t>
  </si>
  <si>
    <t>szt.</t>
  </si>
  <si>
    <t>Odsetki od kredytu</t>
  </si>
  <si>
    <t xml:space="preserve">Rentowność </t>
  </si>
  <si>
    <t>Kapitał obrotowy netto=kapitał stały - majątek trwały</t>
  </si>
  <si>
    <t>KON</t>
  </si>
  <si>
    <t>Wsk</t>
  </si>
  <si>
    <t>Wskaźnik ogólnego zadłużenia</t>
  </si>
  <si>
    <t>Zadanie</t>
  </si>
  <si>
    <t>Nr. Zadania</t>
  </si>
  <si>
    <t>Dni do wykonania</t>
  </si>
  <si>
    <t>Data poczatkowa</t>
  </si>
  <si>
    <t>Zakup maszyn i urządzeń</t>
  </si>
  <si>
    <t>Zakup mebli</t>
  </si>
  <si>
    <t>Zakup materiałów i rzeczy pasmanteryjnych</t>
  </si>
  <si>
    <t>Wykonanie strony internetowej</t>
  </si>
  <si>
    <t>Wykonanie reklamy</t>
  </si>
  <si>
    <t xml:space="preserve">Wykonanie dobrej konstrukcji odzieży </t>
  </si>
  <si>
    <t>Wykonanie prototypu</t>
  </si>
  <si>
    <t xml:space="preserve">Wykonanie projektów odzieżowych </t>
  </si>
  <si>
    <t>Znalezienie lokalu</t>
  </si>
  <si>
    <t xml:space="preserve">Znalezienie firmy wysyłkowej </t>
  </si>
  <si>
    <t>Materiały i energia rocznie</t>
  </si>
  <si>
    <t>Pozostałe koszty stałe</t>
  </si>
  <si>
    <t>a\</t>
  </si>
  <si>
    <t>b\</t>
  </si>
  <si>
    <t>c\</t>
  </si>
  <si>
    <t>d\</t>
  </si>
  <si>
    <t>e\</t>
  </si>
  <si>
    <t>g\</t>
  </si>
  <si>
    <t>f\</t>
  </si>
  <si>
    <t>Koszt prototypu w tym koszty projektu czy formy</t>
  </si>
  <si>
    <t>Suma wydatków i kosztów za pierwszy rok</t>
  </si>
  <si>
    <t>w tym</t>
  </si>
  <si>
    <t>Suma całkowita t.j. kwota wyliczona do uruchomienia produkcji</t>
  </si>
  <si>
    <t xml:space="preserve">Kwota na produkt </t>
  </si>
  <si>
    <t>Jednostkowy koszt wytworzenia</t>
  </si>
  <si>
    <t>Marża, narzut</t>
  </si>
  <si>
    <t>Produkt 1</t>
  </si>
  <si>
    <t>Produkt 2</t>
  </si>
  <si>
    <t>LSZproduktu2</t>
  </si>
  <si>
    <t>cena planowana za produkt2 z badania rynku i konkurencji</t>
  </si>
  <si>
    <t>Wolumen produkcji</t>
  </si>
  <si>
    <t>procent z kwoty na materiały</t>
  </si>
  <si>
    <t>Cena planowana1: jkw z narzutem 20%</t>
  </si>
  <si>
    <t>cena planowana za produkt1  z badania rynku i konkurencji</t>
  </si>
  <si>
    <t>Finansowanie działalności- kredyt</t>
  </si>
  <si>
    <t>Rentowność=zysk netto/przychody ze sprzedaży *100%</t>
  </si>
  <si>
    <t>Wskaźnik struktury kapitału=kapitał własny/aktywa ogółem *100%</t>
  </si>
  <si>
    <t>Wskaźnik zadłużenia=kapitały obce/aktywa ogółem</t>
  </si>
  <si>
    <t>NPV, IRR</t>
  </si>
  <si>
    <t>Stopa dyskontowa</t>
  </si>
  <si>
    <t>Cena sprzedaży</t>
  </si>
  <si>
    <t>Średnia cena konkurencji</t>
  </si>
  <si>
    <t>JKW=</t>
  </si>
  <si>
    <t>marża dla narzutu 20%</t>
  </si>
  <si>
    <t>Cena planowana1: jkw z marżą 20%</t>
  </si>
  <si>
    <t>kwotowo</t>
  </si>
  <si>
    <t>narzut kwotowo 20%</t>
  </si>
  <si>
    <t>marza kwotowo 20%</t>
  </si>
  <si>
    <t>-nie przewidziane wydatki 25%</t>
  </si>
  <si>
    <t>-np. zapas materiałów na start</t>
  </si>
  <si>
    <t>-inne</t>
  </si>
  <si>
    <t>zm.</t>
  </si>
  <si>
    <t>zw.</t>
  </si>
  <si>
    <t>Środki trwałe</t>
  </si>
  <si>
    <t xml:space="preserve">  Materiały i energia + koszty na mat.</t>
  </si>
  <si>
    <t>Wzrost procentowy przychodów  rok do roku</t>
  </si>
  <si>
    <t xml:space="preserve"> (przy zmianie równoważę Bilans)</t>
  </si>
  <si>
    <t>Panel sterowania</t>
  </si>
  <si>
    <t>LSZP1</t>
  </si>
  <si>
    <t>LSZP2</t>
  </si>
  <si>
    <t>Liczba wspólników</t>
  </si>
  <si>
    <t>Dotacja</t>
  </si>
  <si>
    <t>Cena planowana1 jkw z narzutem 20%</t>
  </si>
  <si>
    <t>marża dla narzutu 25%</t>
  </si>
  <si>
    <t>Wykonalność planu wg liczby miesięcy kredytowania</t>
  </si>
  <si>
    <t>Wykres Gantta</t>
  </si>
  <si>
    <t>Analiza Konkurencji</t>
  </si>
  <si>
    <t>Cena planowana wersja rynkowa*</t>
  </si>
  <si>
    <t>*- cene sprzedaży ustalamy w arkuszu 0.Analiza konkurencji</t>
  </si>
  <si>
    <t>Oprocentowanie roczne kredytu</t>
  </si>
  <si>
    <t xml:space="preserve">W pierwszym pełnym roku </t>
  </si>
  <si>
    <t>m-ce kredytownia</t>
  </si>
  <si>
    <t>na start tyle mamy:</t>
  </si>
  <si>
    <t>Wzrost procentowy kosztów  rok do roku</t>
  </si>
  <si>
    <t>podatek 23%</t>
  </si>
  <si>
    <t>ćwiczenie</t>
  </si>
  <si>
    <t>kredytowane  m-ce działalności</t>
  </si>
  <si>
    <t>dnia</t>
  </si>
  <si>
    <t>h</t>
  </si>
  <si>
    <t>czasu pracy</t>
  </si>
  <si>
    <t>na mc</t>
  </si>
  <si>
    <t xml:space="preserve">JKW produktu 1 </t>
  </si>
  <si>
    <t>JKW produktu 2</t>
  </si>
  <si>
    <t>roboczogodzina</t>
  </si>
  <si>
    <t>Założenia</t>
  </si>
  <si>
    <t>1. wszystkie środki trwałe są kupowane na początku każdego roku</t>
  </si>
  <si>
    <t>szczegółowe wskazówki znajdują się w instukcji do arkuszy excela</t>
  </si>
  <si>
    <t>Szacunkowe wynagrodzenie brutto na mc</t>
  </si>
  <si>
    <t>1. przyjmuje się minimalne wynagrodzenie w danym roku</t>
  </si>
  <si>
    <t>Narzuty na wynagrodzenia - ZUS część pracodawcy - emerytalne 9,76% + rentowe 6,5% + wypadkowe 1,80% + FP 2,45%  + FGŚP 0,1% - 20,61% wynagrodzenia brutto</t>
  </si>
  <si>
    <t>2. wspólnicy są pracownikami</t>
  </si>
  <si>
    <t>3. wynajem komercyjny lokalu na firmę</t>
  </si>
  <si>
    <t xml:space="preserve">  Zakup usług obcych</t>
  </si>
  <si>
    <t xml:space="preserve">  Koszty inne rodzajowe</t>
  </si>
  <si>
    <t>Jednostkowy koszt energii elektrycznej do maszyn</t>
  </si>
  <si>
    <t>1kW</t>
  </si>
  <si>
    <t>koszty na promocję (www, szyld, ulotki)</t>
  </si>
  <si>
    <t>koszty szkoleń</t>
  </si>
  <si>
    <t>1. zakładamy brak zobowiązań i należności</t>
  </si>
  <si>
    <t>Zapasy</t>
  </si>
  <si>
    <t xml:space="preserve">Materiały zasadnicze (tkanina, dzianina itp.) </t>
  </si>
  <si>
    <t xml:space="preserve">Dodatki krawieckie  (tkanina, dzianina itp.) </t>
  </si>
  <si>
    <t>Wartość netto środków trwałych na koniec roku (wartość początkowa - amortyzacja)</t>
  </si>
  <si>
    <t>Wykonalność planu wg siły roboczej (man power)</t>
  </si>
  <si>
    <t>Rozpoczęcie działalności</t>
  </si>
  <si>
    <t>2. jako środek trwały traktujemy każdy zakup urządzenia lub maszyn powyżej 3500zł brutto</t>
  </si>
  <si>
    <t xml:space="preserve">Metodyka modelu </t>
  </si>
  <si>
    <t>Jednostkowy koszt wytworzenia (JKW)</t>
  </si>
  <si>
    <t>Współczynnik preProfit</t>
  </si>
  <si>
    <t>preProfit</t>
  </si>
  <si>
    <t xml:space="preserve">Kosztorys JKW </t>
  </si>
  <si>
    <t xml:space="preserve">  Pozostałe przychody (np.. Dotacje)</t>
  </si>
  <si>
    <t>Wskaźnik płynności bieżącej=aktywa bieżące/zobowiązania bieżące</t>
  </si>
  <si>
    <t>Wsk. Płynności</t>
  </si>
  <si>
    <t xml:space="preserve">Materiały do produkcji (wyliczone na podstawie kosztów stałych wg wsp. preProfit) w tym: Ilość zakupionego materiału, surowców, półproduktów, towary do produkcji;  Zużycie materiałów pomocniczych (pośrednie); </t>
  </si>
  <si>
    <t>Jeżeli suma z F8 jest mniejsza od F10 to mieszczę się w oknie wykonalnośći produkcji</t>
  </si>
  <si>
    <t>Uwaga:</t>
  </si>
  <si>
    <t>Produkt 1 - koszula</t>
  </si>
  <si>
    <t xml:space="preserve">Wykonanie </t>
  </si>
  <si>
    <t>Wykonanie</t>
  </si>
  <si>
    <t>Produkt 2 - spodnie</t>
  </si>
  <si>
    <t>Jednostka miary</t>
  </si>
  <si>
    <t>Ilość</t>
  </si>
  <si>
    <t>Koszt jedn.</t>
  </si>
  <si>
    <t>Biznesplan dotyczy przedsięwzięcia gospodarczego z branży tekstylno-odzieżowej rozpoczynającego swoją działalność. Właścicielami start-upu założonego przez dwóch absolwentów Wydziału Technologii Materiałowych i Wzornictwa Tekstyliów Politechniki Łódzkiej, którzy w pierwszym roku będą również jedynymi pracownikami firmy. Celem biznes planu jest analiza opłacalności przedsięwzięcia oraz przygotowanie prognozy finansowej na pięć kolejnych lat.  W pliku Excel w pierwszym arkuszu oznaczonym „00. Metodyka” są zawarte informacje stanowiące założenia dla planowanego przedsięwzięcia:
a) cena sprzedaży została oszacowana na podstawie analizy konkurencji i badania rynku, 
b) środki trwałe stanowią koszty początkowe uruchomienia działalności, a kwota na materiały do produkcji została obliczona na podstawie współczynnika preProfit, 
c) osiągnięcie opłacalności na poziomie około 100.000 zł w pierwszym roku działalności z produkcji dwóch wyrobów tekstylnych o zróżnicowanej jakości (w przykładzie produkt 1 - koszula, produkt 2 - spodnie),
d) oszacowanie jednostkowego kosztu wytworzenia produktów 1 i 2, 
e) oszacowanie wolumenu produkcji, 
f) analiza opłacalności produkcji produktów 1 i 2.</t>
  </si>
  <si>
    <t>-pola niebieskie są edytowalne</t>
  </si>
  <si>
    <t xml:space="preserve"> Mniejsza od średniej o</t>
  </si>
  <si>
    <t>Cena sprzedaży produkt 1</t>
  </si>
  <si>
    <t>Cena sprzedaży produkt 2</t>
  </si>
  <si>
    <t>PreProfit factor</t>
  </si>
  <si>
    <t>Kwota na materiały</t>
  </si>
  <si>
    <t>Procent z kwoty na materiały na produkt 1</t>
  </si>
  <si>
    <t>Kwotowo</t>
  </si>
  <si>
    <t>Procent z kwoty na materiały na produkt 2</t>
  </si>
  <si>
    <t>Zysk na produkcie 1</t>
  </si>
  <si>
    <t>Marza</t>
  </si>
  <si>
    <t>Narzut</t>
  </si>
  <si>
    <t>Zysk na produkcie 2</t>
  </si>
  <si>
    <t>Kwota do kredytu</t>
  </si>
  <si>
    <t>Kwota dotacji</t>
  </si>
  <si>
    <t>Kwota na pierwszy rok z wydatkami brutto</t>
  </si>
  <si>
    <t>Liczba miesięcy kredytowych</t>
  </si>
  <si>
    <t>Ceny konkurencji produkt 1</t>
  </si>
  <si>
    <t>Cena z badania rynku (ankieta)</t>
  </si>
  <si>
    <t>Średnia cena za produkt 1</t>
  </si>
  <si>
    <t xml:space="preserve">Cena sprzedaży produktu 1 będzie niższa o </t>
  </si>
  <si>
    <t>Cena sprzedaży produktu 1</t>
  </si>
  <si>
    <t>Ceny konkurencji produkt 2</t>
  </si>
  <si>
    <t>Średnia cena za produkt 2</t>
  </si>
  <si>
    <t xml:space="preserve">Cena sprzedaży produktu 2 będzie niższa o </t>
  </si>
  <si>
    <t>Cena sprzedaży produktu 2</t>
  </si>
  <si>
    <t>Komputer</t>
  </si>
  <si>
    <t>Urządzenie wielofunkcyjne</t>
  </si>
  <si>
    <t>Zestaw mebli</t>
  </si>
  <si>
    <t>Overlock 4-nitkowy</t>
  </si>
  <si>
    <t>Guzikarka bieliźniana</t>
  </si>
  <si>
    <t>Dziurkarka bieliźniana</t>
  </si>
  <si>
    <t>Ploter</t>
  </si>
  <si>
    <t>System CAD</t>
  </si>
  <si>
    <t>Stębnówki</t>
  </si>
  <si>
    <t>Overlock 5-nitkowy</t>
  </si>
  <si>
    <t xml:space="preserve">Skaner </t>
  </si>
  <si>
    <t>Ryglówka</t>
  </si>
  <si>
    <t>Samochód</t>
  </si>
  <si>
    <t>Żelazko przemysłowe</t>
  </si>
  <si>
    <t>Koszty energii el. w biurze</t>
  </si>
  <si>
    <t>Koszty zużycia wody</t>
  </si>
  <si>
    <t>Koszty materiałów biurowych</t>
  </si>
  <si>
    <t>Koszty środków czystości</t>
  </si>
  <si>
    <t>Współnik 1</t>
  </si>
  <si>
    <t>Współnik 2</t>
  </si>
  <si>
    <t>Wynajem lokalu 150m, 10zl/m</t>
  </si>
  <si>
    <t>Koszty usług telekomunikacyjnych</t>
  </si>
  <si>
    <t>Koszty obsługi prawnej</t>
  </si>
  <si>
    <t>Koszty wyjazdów służbowych – targi</t>
  </si>
  <si>
    <t>Koszt dogrzewania budynku</t>
  </si>
  <si>
    <t>Koszty eksploatacji maszyn i urządzeń</t>
  </si>
  <si>
    <t xml:space="preserve">Koszty prototypów </t>
  </si>
  <si>
    <t>Razem</t>
  </si>
  <si>
    <t>Prototyp1</t>
  </si>
  <si>
    <t>Prototyp2</t>
  </si>
  <si>
    <t>Koszt wytworzenia 1 sztuki 1 produktu</t>
  </si>
  <si>
    <t>Koszt wytworzenia 1 sztuki 2 produktu</t>
  </si>
  <si>
    <t>Formy</t>
  </si>
  <si>
    <t>Stopniowanie</t>
  </si>
  <si>
    <t>Projekt</t>
  </si>
  <si>
    <t>Inna rozmiarówka (kwota średnia prototypów)</t>
  </si>
  <si>
    <t>Suma</t>
  </si>
  <si>
    <t>Czas realizacji w procesie produkcji</t>
  </si>
  <si>
    <t>Wszystkie planowane wydatki środków trwałych</t>
  </si>
  <si>
    <r>
      <t xml:space="preserve">Koszty „Materiałów i energii rocznie” </t>
    </r>
    <r>
      <rPr>
        <b/>
        <sz val="13"/>
        <color indexed="8"/>
        <rFont val="Calibri"/>
        <family val="2"/>
        <charset val="238"/>
      </rPr>
      <t>bez materiałów do produkcji</t>
    </r>
  </si>
  <si>
    <r>
      <t>Koszty wytworzenia prototypów  produktów</t>
    </r>
    <r>
      <rPr>
        <b/>
        <sz val="13"/>
        <color indexed="8"/>
        <rFont val="Calibri"/>
        <family val="2"/>
        <charset val="238"/>
      </rPr>
      <t xml:space="preserve"> (np.prototyp, który zostanie na ekspozycji)</t>
    </r>
  </si>
  <si>
    <t>Planowane wynagrodzenia i pochodne</t>
  </si>
  <si>
    <t>Zakup usług</t>
  </si>
  <si>
    <t>Inne koszty rodzajowe</t>
  </si>
  <si>
    <t xml:space="preserve">Kwota na matariały do produkcji </t>
  </si>
  <si>
    <t>Wolument, liczba sztuk (LSZ) danego produktu</t>
  </si>
  <si>
    <t>Dotacja z Urzędu Pracy na uruchomienie własnej działalności gospodarczej</t>
  </si>
  <si>
    <t>Kwota na start</t>
  </si>
  <si>
    <t>Zmniejszenia proporcjonalnie</t>
  </si>
  <si>
    <t>Suma całkowita</t>
  </si>
  <si>
    <t>Liczba lat</t>
  </si>
  <si>
    <t>Liczba mcy</t>
  </si>
  <si>
    <t>Rata równa (rata + odestki [zł])</t>
  </si>
  <si>
    <t>Spłata odestkowa za cały okres [zł]</t>
  </si>
  <si>
    <t>Suma za rok rata kapitałowa</t>
  </si>
  <si>
    <t>Suma za rok rata odsetkowa</t>
  </si>
  <si>
    <t>Suma do spłaty</t>
  </si>
  <si>
    <t>Kredyt</t>
  </si>
  <si>
    <t>W1</t>
  </si>
  <si>
    <t>W2</t>
  </si>
  <si>
    <t>W3</t>
  </si>
  <si>
    <t>W4</t>
  </si>
  <si>
    <t>W5</t>
  </si>
  <si>
    <t>W6</t>
  </si>
  <si>
    <t>IRR</t>
  </si>
  <si>
    <t>NPV</t>
  </si>
  <si>
    <t xml:space="preserve">Potrzeby na </t>
  </si>
  <si>
    <t>Gdy B11 mniejsze od kwoty z komórki D11 to można działać zgodnie z założeniami, w przeciwnym razie zabraknie pieniędzy na</t>
  </si>
  <si>
    <t>Liczba produktów nr 1 na 1 wspolnika na mc</t>
  </si>
  <si>
    <t>Liczba produktów nr 2 na 1 wspolnika na mc</t>
  </si>
  <si>
    <t>Zapas powinnien być min. 50h aby jeden ze wspólników mógł zając się marketingiem. Jeżli jest za mały należy zmniejszyć współczynnik preProfit.</t>
  </si>
  <si>
    <t xml:space="preserve">W tygodniu jest </t>
  </si>
  <si>
    <t>czas na projekty dla wszystkich w danym miesiącu</t>
  </si>
  <si>
    <t>Całkowita suma potrzebnych godzin do wykonania planowanej produkcji za 1 mc</t>
  </si>
  <si>
    <t xml:space="preserve">Uwaga: Można dać zapas na poprawki 100h wtedy max.380h pracy </t>
  </si>
  <si>
    <t>Koszty biura rachunkowego</t>
  </si>
  <si>
    <t>Koszty utrzymania strony internetowej sklepu (opłata za domenę, administratora itp.)</t>
  </si>
  <si>
    <t>Kwota max. do zmniejszenia (bez śr.trwałych)</t>
  </si>
  <si>
    <t xml:space="preserve">Zmniejszenie kwoty na materiały </t>
  </si>
  <si>
    <t>Zmniejszenia kosztów stałych proporcjonalnie</t>
  </si>
  <si>
    <t>Kwota na start firmy</t>
  </si>
  <si>
    <t>Model analizy finansowej zawartej w pliku Excel „Analiza_finanasowa_biznes_plan_kalkulacja_preProfit.xlsx” został opracowany przez zespół w składzie: Renata Lisowska, Monika Malinowska-Olszowy, Jarosław Wojciechowski na podstawie koncepcji zawartej w publikacji J. Wojciechowski, R. Lisowska, Implementation of a Variable Costing Method to Calculate the Profitability of a Production Investment for a Textile and Clothing Start-Up European Research Studies Journal, Volume XXVIΙ, Issue 3, 583-596, 2024 (https://ersj.eu/journal/3453).
Plik „Analiza_finanasowa_biznes_plan_kalkulacja_preProfit.xlsx” jest dostępny wyłącznie jako integralna część książki pt. Planowanie i prowadzenie firmy tekstylnej. Biznesplan, Wydawnictwo Politechniki Łódzkiej.</t>
  </si>
  <si>
    <t>Po ustaleniu współczynnika preProfit i uzyskaniu satysfakcjonującego zysku, jeżeli dodamy kolejne koszty stałe lub środki trwałe to zmieni się  zysk. Metoda przy użyciu współczynnika preProfit działa na zasadzie dźwigni na kosztach i jest metodą iteracyjną. Wtedy należy zmienić wartość współczynnika w dół aby zmniejszyć zysk lub w górę aby go zwiększyć.</t>
  </si>
  <si>
    <t>Uwaga: Szczegółowa analiza arkuszy w pliku Excel, w tym wyniku finansowego jest możliwa wyłącznie po ukończeniu wszystkich ćwiczeń.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</si>
</sst>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\ &quot;zł&quot;;[Red]\-#,##0\ &quot;zł&quot;"/>
    <numFmt numFmtId="165" formatCode="#,##0.00\ &quot;zł&quot;;[Red]\-#,##0.00\ &quot;zł&quot;"/>
    <numFmt numFmtId="166" formatCode="_-* #,##0.00\ &quot;zł&quot;_-;\-* #,##0.00\ &quot;zł&quot;_-;_-* &quot;-&quot;??\ &quot;zł&quot;_-;_-@_-"/>
    <numFmt numFmtId="167" formatCode="_-* #,##0.00\ _z_ł_-;\-* #,##0.00\ _z_ł_-;_-* &quot;-&quot;??\ _z_ł_-;_-@_-"/>
    <numFmt numFmtId="168" formatCode="#,##0.00_ ;\-#,##0.00\ "/>
    <numFmt numFmtId="169" formatCode="#,##0_ ;[Red]\-#,##0\ "/>
    <numFmt numFmtId="170" formatCode="_-* #,##0.00\ [$zł-415]_-;\-* #,##0.00\ [$zł-415]_-;_-* &quot;-&quot;??\ [$zł-415]_-;_-@_-"/>
    <numFmt numFmtId="171" formatCode="#,##0.00\ &quot;zł&quot;"/>
  </numFmts>
  <fonts count="54"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0"/>
      <name val="Arial CE"/>
      <charset val="238"/>
    </font>
    <font>
      <b/>
      <sz val="12"/>
      <name val="Arial"/>
      <family val="2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sz val="6"/>
      <name val="Arial"/>
      <family val="2"/>
      <charset val="238"/>
    </font>
    <font>
      <b/>
      <sz val="1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8"/>
      <name val="Czcionka tekstu podstawowego"/>
      <family val="2"/>
      <charset val="238"/>
    </font>
    <font>
      <b/>
      <sz val="9"/>
      <color indexed="8"/>
      <name val="Tahoma"/>
      <family val="2"/>
      <charset val="238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9"/>
      <color indexed="81"/>
      <name val="Tahoma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9"/>
      <color theme="1"/>
      <name val="Czcionka tekstu podstawowego"/>
      <charset val="238"/>
    </font>
    <font>
      <sz val="9"/>
      <color theme="1"/>
      <name val="Czcionka tekstu podstawowego"/>
      <charset val="238"/>
    </font>
    <font>
      <b/>
      <sz val="13"/>
      <color theme="1"/>
      <name val="Czcionka tekstu podstawowego"/>
      <charset val="238"/>
    </font>
    <font>
      <sz val="13"/>
      <color theme="1"/>
      <name val="Czcionka tekstu podstawowego"/>
      <charset val="238"/>
    </font>
    <font>
      <i/>
      <sz val="13"/>
      <color theme="1"/>
      <name val="Czcionka tekstu podstawowego"/>
      <charset val="238"/>
    </font>
    <font>
      <sz val="13"/>
      <color theme="1"/>
      <name val="Czcionka tekstu podstawowego"/>
      <family val="2"/>
      <charset val="238"/>
    </font>
    <font>
      <sz val="13"/>
      <color theme="1"/>
      <name val="Calibri"/>
      <family val="2"/>
      <charset val="238"/>
    </font>
    <font>
      <i/>
      <sz val="12"/>
      <color theme="1"/>
      <name val="Czcionka tekstu podstawowego"/>
      <charset val="238"/>
    </font>
    <font>
      <i/>
      <sz val="13"/>
      <color theme="1"/>
      <name val="Arial"/>
      <family val="2"/>
      <charset val="238"/>
    </font>
    <font>
      <sz val="13"/>
      <color rgb="FFFF0000"/>
      <name val="Czcionka tekstu podstawowego"/>
      <charset val="238"/>
    </font>
    <font>
      <sz val="13"/>
      <name val="Czcionka tekstu podstawowego"/>
      <family val="2"/>
      <charset val="238"/>
    </font>
    <font>
      <b/>
      <sz val="13"/>
      <color theme="1"/>
      <name val="Calibri"/>
      <family val="2"/>
      <charset val="238"/>
    </font>
    <font>
      <u/>
      <sz val="13"/>
      <color theme="1"/>
      <name val="Czcionka tekstu podstawowego"/>
      <family val="2"/>
      <charset val="238"/>
    </font>
    <font>
      <b/>
      <sz val="13"/>
      <color indexed="8"/>
      <name val="Calibri"/>
      <family val="2"/>
      <charset val="238"/>
    </font>
    <font>
      <sz val="13"/>
      <color rgb="FFFF0000"/>
      <name val="Czcionka tekstu podstawowego"/>
      <family val="2"/>
      <charset val="238"/>
    </font>
    <font>
      <sz val="12"/>
      <name val="Arial"/>
      <family val="2"/>
      <charset val="238"/>
    </font>
    <font>
      <i/>
      <sz val="12"/>
      <name val="Arial"/>
      <family val="2"/>
      <charset val="238"/>
    </font>
    <font>
      <sz val="13"/>
      <color rgb="FF006100"/>
      <name val="Calibri"/>
      <family val="2"/>
      <charset val="238"/>
      <scheme val="minor"/>
    </font>
    <font>
      <b/>
      <i/>
      <sz val="13"/>
      <color theme="1"/>
      <name val="Czcionka tekstu podstawowego"/>
      <charset val="238"/>
    </font>
    <font>
      <i/>
      <sz val="9"/>
      <color theme="1"/>
      <name val="Czcionka tekstu podstawowego"/>
      <charset val="238"/>
    </font>
    <font>
      <b/>
      <i/>
      <sz val="9"/>
      <color theme="1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12"/>
      <color theme="1"/>
      <name val="Czcionka tekstu podstawowego"/>
      <charset val="238"/>
    </font>
    <font>
      <sz val="9"/>
      <color theme="1"/>
      <name val="Czcionka tekstu podstawowego"/>
      <family val="2"/>
      <charset val="238"/>
    </font>
    <font>
      <i/>
      <sz val="10"/>
      <color theme="1"/>
      <name val="Czcionka tekstu podstawowego"/>
      <charset val="238"/>
    </font>
    <font>
      <b/>
      <sz val="11"/>
      <color theme="1"/>
      <name val="Czcionka tekstu podstawowego"/>
      <charset val="238"/>
    </font>
    <font>
      <sz val="11"/>
      <color theme="1"/>
      <name val="Calibri"/>
      <family val="2"/>
      <charset val="238"/>
    </font>
    <font>
      <sz val="10"/>
      <color theme="1"/>
      <name val="Czcionka tekstu podstawowego"/>
      <charset val="238"/>
    </font>
    <font>
      <sz val="13"/>
      <color theme="0"/>
      <name val="Czcionka tekstu podstawowego"/>
      <charset val="238"/>
    </font>
    <font>
      <sz val="11"/>
      <color rgb="FFFF0000"/>
      <name val="Czcionka tekstu podstawowego"/>
      <charset val="238"/>
    </font>
    <font>
      <b/>
      <u/>
      <sz val="13"/>
      <color theme="1"/>
      <name val="Czcionka tekstu podstawowego"/>
      <charset val="238"/>
    </font>
    <font>
      <i/>
      <sz val="11"/>
      <color theme="1"/>
      <name val="Czcionka tekstu podstawowego"/>
      <charset val="238"/>
    </font>
    <font>
      <i/>
      <sz val="11"/>
      <color rgb="FFFF0000"/>
      <name val="Czcionka tekstu podstawowego"/>
    </font>
  </fonts>
  <fills count="1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7">
    <xf numFmtId="0" fontId="0" fillId="0" borderId="0"/>
    <xf numFmtId="0" fontId="20" fillId="4" borderId="0" applyNumberFormat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5" fillId="0" borderId="0"/>
    <xf numFmtId="9" fontId="19" fillId="0" borderId="0" applyFont="0" applyFill="0" applyBorder="0" applyAlignment="0" applyProtection="0"/>
    <xf numFmtId="166" fontId="19" fillId="0" borderId="0" applyFont="0" applyFill="0" applyBorder="0" applyAlignment="0" applyProtection="0"/>
  </cellStyleXfs>
  <cellXfs count="361">
    <xf numFmtId="0" fontId="0" fillId="0" borderId="0" xfId="0"/>
    <xf numFmtId="0" fontId="7" fillId="0" borderId="0" xfId="4" applyFont="1" applyAlignment="1">
      <alignment horizontal="center" vertical="center"/>
    </xf>
    <xf numFmtId="0" fontId="5" fillId="0" borderId="0" xfId="4"/>
    <xf numFmtId="0" fontId="3" fillId="0" borderId="1" xfId="4" applyFont="1" applyBorder="1" applyAlignment="1">
      <alignment horizontal="center" vertical="center"/>
    </xf>
    <xf numFmtId="169" fontId="10" fillId="0" borderId="1" xfId="4" applyNumberFormat="1" applyFont="1" applyBorder="1" applyAlignment="1">
      <alignment horizontal="right" vertical="center"/>
    </xf>
    <xf numFmtId="169" fontId="5" fillId="0" borderId="0" xfId="4" applyNumberFormat="1"/>
    <xf numFmtId="14" fontId="3" fillId="0" borderId="2" xfId="4" applyNumberFormat="1" applyFont="1" applyBorder="1" applyAlignment="1" applyProtection="1">
      <alignment horizontal="center" vertical="center"/>
      <protection locked="0"/>
    </xf>
    <xf numFmtId="40" fontId="10" fillId="0" borderId="3" xfId="4" applyNumberFormat="1" applyFont="1" applyBorder="1" applyAlignment="1" applyProtection="1">
      <alignment horizontal="right" vertical="center"/>
      <protection locked="0"/>
    </xf>
    <xf numFmtId="40" fontId="10" fillId="0" borderId="3" xfId="4" applyNumberFormat="1" applyFont="1" applyBorder="1" applyAlignment="1">
      <alignment horizontal="right" vertical="center"/>
    </xf>
    <xf numFmtId="40" fontId="2" fillId="0" borderId="3" xfId="4" applyNumberFormat="1" applyFont="1" applyBorder="1" applyAlignment="1" applyProtection="1">
      <alignment horizontal="right" vertical="center"/>
      <protection locked="0"/>
    </xf>
    <xf numFmtId="40" fontId="2" fillId="0" borderId="1" xfId="4" applyNumberFormat="1" applyFont="1" applyBorder="1" applyAlignment="1" applyProtection="1">
      <alignment horizontal="right" vertical="center"/>
      <protection locked="0"/>
    </xf>
    <xf numFmtId="40" fontId="2" fillId="0" borderId="3" xfId="4" applyNumberFormat="1" applyFont="1" applyBorder="1" applyAlignment="1">
      <alignment horizontal="right" vertical="center"/>
    </xf>
    <xf numFmtId="40" fontId="12" fillId="0" borderId="3" xfId="4" applyNumberFormat="1" applyFont="1" applyBorder="1" applyAlignment="1">
      <alignment horizontal="right" vertical="center"/>
    </xf>
    <xf numFmtId="40" fontId="12" fillId="0" borderId="3" xfId="4" applyNumberFormat="1" applyFont="1" applyBorder="1" applyAlignment="1" applyProtection="1">
      <alignment horizontal="right" vertical="center"/>
      <protection locked="0"/>
    </xf>
    <xf numFmtId="0" fontId="24" fillId="0" borderId="0" xfId="0" applyFont="1" applyProtection="1">
      <protection locked="0"/>
    </xf>
    <xf numFmtId="0" fontId="24" fillId="15" borderId="3" xfId="0" applyFont="1" applyFill="1" applyBorder="1" applyProtection="1">
      <protection locked="0"/>
    </xf>
    <xf numFmtId="4" fontId="24" fillId="15" borderId="3" xfId="0" applyNumberFormat="1" applyFont="1" applyFill="1" applyBorder="1" applyProtection="1">
      <protection locked="0"/>
    </xf>
    <xf numFmtId="171" fontId="26" fillId="0" borderId="0" xfId="0" applyNumberFormat="1" applyFont="1"/>
    <xf numFmtId="9" fontId="26" fillId="10" borderId="0" xfId="5" applyFont="1" applyFill="1" applyProtection="1"/>
    <xf numFmtId="9" fontId="26" fillId="0" borderId="0" xfId="5" applyFont="1" applyProtection="1"/>
    <xf numFmtId="170" fontId="26" fillId="0" borderId="0" xfId="5" applyNumberFormat="1" applyFont="1" applyAlignment="1" applyProtection="1"/>
    <xf numFmtId="166" fontId="26" fillId="0" borderId="0" xfId="6" applyFont="1" applyAlignment="1" applyProtection="1"/>
    <xf numFmtId="170" fontId="26" fillId="0" borderId="0" xfId="5" applyNumberFormat="1" applyFont="1" applyProtection="1"/>
    <xf numFmtId="166" fontId="26" fillId="0" borderId="0" xfId="6" applyFont="1" applyProtection="1"/>
    <xf numFmtId="0" fontId="26" fillId="0" borderId="0" xfId="0" applyFont="1"/>
    <xf numFmtId="0" fontId="28" fillId="0" borderId="0" xfId="0" quotePrefix="1" applyFont="1" applyProtection="1">
      <protection locked="0"/>
    </xf>
    <xf numFmtId="2" fontId="26" fillId="0" borderId="3" xfId="0" applyNumberFormat="1" applyFont="1" applyBorder="1" applyProtection="1">
      <protection locked="0"/>
    </xf>
    <xf numFmtId="2" fontId="26" fillId="15" borderId="3" xfId="0" applyNumberFormat="1" applyFont="1" applyFill="1" applyBorder="1" applyProtection="1">
      <protection locked="0"/>
    </xf>
    <xf numFmtId="4" fontId="26" fillId="15" borderId="3" xfId="0" applyNumberFormat="1" applyFont="1" applyFill="1" applyBorder="1" applyAlignment="1" applyProtection="1">
      <alignment horizontal="right"/>
      <protection locked="0"/>
    </xf>
    <xf numFmtId="0" fontId="26" fillId="15" borderId="0" xfId="0" applyFont="1" applyFill="1" applyProtection="1">
      <protection locked="0"/>
    </xf>
    <xf numFmtId="2" fontId="26" fillId="15" borderId="3" xfId="0" quotePrefix="1" applyNumberFormat="1" applyFont="1" applyFill="1" applyBorder="1" applyProtection="1">
      <protection locked="0"/>
    </xf>
    <xf numFmtId="4" fontId="26" fillId="0" borderId="3" xfId="0" applyNumberFormat="1" applyFont="1" applyBorder="1" applyAlignment="1" applyProtection="1">
      <alignment horizontal="right"/>
      <protection locked="0"/>
    </xf>
    <xf numFmtId="2" fontId="31" fillId="0" borderId="3" xfId="0" applyNumberFormat="1" applyFont="1" applyBorder="1" applyProtection="1">
      <protection locked="0"/>
    </xf>
    <xf numFmtId="2" fontId="26" fillId="12" borderId="3" xfId="0" applyNumberFormat="1" applyFont="1" applyFill="1" applyBorder="1" applyProtection="1">
      <protection locked="0"/>
    </xf>
    <xf numFmtId="2" fontId="26" fillId="15" borderId="3" xfId="0" applyNumberFormat="1" applyFont="1" applyFill="1" applyBorder="1" applyAlignment="1" applyProtection="1">
      <alignment wrapText="1"/>
      <protection locked="0"/>
    </xf>
    <xf numFmtId="164" fontId="23" fillId="0" borderId="0" xfId="0" applyNumberFormat="1" applyFont="1"/>
    <xf numFmtId="0" fontId="25" fillId="0" borderId="0" xfId="0" quotePrefix="1" applyFont="1"/>
    <xf numFmtId="0" fontId="32" fillId="0" borderId="16" xfId="0" applyFont="1" applyBorder="1" applyAlignment="1">
      <alignment horizontal="justify" vertical="center" wrapText="1"/>
    </xf>
    <xf numFmtId="0" fontId="32" fillId="0" borderId="14" xfId="0" applyFont="1" applyBorder="1" applyAlignment="1">
      <alignment horizontal="justify" vertical="center" wrapText="1"/>
    </xf>
    <xf numFmtId="171" fontId="26" fillId="15" borderId="0" xfId="0" applyNumberFormat="1" applyFont="1" applyFill="1" applyProtection="1">
      <protection locked="0"/>
    </xf>
    <xf numFmtId="0" fontId="32" fillId="15" borderId="17" xfId="0" applyFont="1" applyFill="1" applyBorder="1" applyAlignment="1" applyProtection="1">
      <alignment horizontal="justify" vertical="center" wrapText="1"/>
      <protection locked="0"/>
    </xf>
    <xf numFmtId="0" fontId="27" fillId="15" borderId="17" xfId="0" applyFont="1" applyFill="1" applyBorder="1" applyAlignment="1" applyProtection="1">
      <alignment horizontal="justify" vertical="center" wrapText="1"/>
      <protection locked="0"/>
    </xf>
    <xf numFmtId="164" fontId="32" fillId="15" borderId="17" xfId="0" applyNumberFormat="1" applyFont="1" applyFill="1" applyBorder="1" applyAlignment="1" applyProtection="1">
      <alignment horizontal="justify" vertical="center" wrapText="1"/>
      <protection locked="0"/>
    </xf>
    <xf numFmtId="171" fontId="32" fillId="15" borderId="17" xfId="0" applyNumberFormat="1" applyFont="1" applyFill="1" applyBorder="1" applyAlignment="1" applyProtection="1">
      <alignment horizontal="justify" vertical="center" wrapText="1"/>
      <protection locked="0"/>
    </xf>
    <xf numFmtId="0" fontId="32" fillId="0" borderId="5" xfId="0" applyFont="1" applyBorder="1" applyAlignment="1">
      <alignment horizontal="justify" vertical="center" wrapText="1"/>
    </xf>
    <xf numFmtId="171" fontId="32" fillId="0" borderId="5" xfId="0" applyNumberFormat="1" applyFont="1" applyBorder="1" applyAlignment="1">
      <alignment horizontal="justify" vertical="center" wrapText="1"/>
    </xf>
    <xf numFmtId="0" fontId="33" fillId="0" borderId="0" xfId="0" applyFont="1"/>
    <xf numFmtId="171" fontId="33" fillId="0" borderId="0" xfId="0" applyNumberFormat="1" applyFont="1"/>
    <xf numFmtId="0" fontId="27" fillId="0" borderId="4" xfId="0" applyFont="1" applyBorder="1" applyAlignment="1">
      <alignment vertical="center" wrapText="1"/>
    </xf>
    <xf numFmtId="4" fontId="27" fillId="0" borderId="5" xfId="0" applyNumberFormat="1" applyFont="1" applyBorder="1" applyAlignment="1">
      <alignment vertical="center" wrapText="1"/>
    </xf>
    <xf numFmtId="0" fontId="27" fillId="0" borderId="5" xfId="0" applyFont="1" applyBorder="1" applyAlignment="1">
      <alignment vertical="center" wrapText="1"/>
    </xf>
    <xf numFmtId="0" fontId="24" fillId="15" borderId="0" xfId="0" applyFont="1" applyFill="1" applyProtection="1">
      <protection locked="0"/>
    </xf>
    <xf numFmtId="9" fontId="24" fillId="0" borderId="0" xfId="5" applyFont="1" applyProtection="1"/>
    <xf numFmtId="171" fontId="24" fillId="14" borderId="0" xfId="5" applyNumberFormat="1" applyFont="1" applyFill="1" applyProtection="1"/>
    <xf numFmtId="4" fontId="24" fillId="0" borderId="0" xfId="0" applyNumberFormat="1" applyFont="1"/>
    <xf numFmtId="2" fontId="35" fillId="15" borderId="3" xfId="0" applyNumberFormat="1" applyFont="1" applyFill="1" applyBorder="1" applyProtection="1">
      <protection locked="0"/>
    </xf>
    <xf numFmtId="0" fontId="36" fillId="0" borderId="0" xfId="3" applyFont="1" applyProtection="1">
      <protection locked="0"/>
    </xf>
    <xf numFmtId="0" fontId="6" fillId="3" borderId="0" xfId="3" applyFont="1" applyFill="1" applyAlignment="1" applyProtection="1">
      <alignment horizontal="center"/>
      <protection locked="0"/>
    </xf>
    <xf numFmtId="0" fontId="36" fillId="0" borderId="0" xfId="3" applyFont="1" applyAlignment="1" applyProtection="1">
      <alignment horizontal="center"/>
      <protection locked="0"/>
    </xf>
    <xf numFmtId="0" fontId="6" fillId="0" borderId="3" xfId="3" applyFont="1" applyBorder="1" applyAlignment="1" applyProtection="1">
      <alignment horizontal="center" vertical="center"/>
      <protection locked="0"/>
    </xf>
    <xf numFmtId="14" fontId="6" fillId="0" borderId="3" xfId="3" applyNumberFormat="1" applyFont="1" applyBorder="1" applyAlignment="1">
      <alignment horizontal="center" vertical="center" wrapText="1"/>
    </xf>
    <xf numFmtId="0" fontId="6" fillId="0" borderId="3" xfId="3" applyFont="1" applyBorder="1" applyAlignment="1" applyProtection="1">
      <alignment horizontal="center" vertical="center" wrapText="1"/>
      <protection locked="0"/>
    </xf>
    <xf numFmtId="168" fontId="6" fillId="3" borderId="3" xfId="2" applyNumberFormat="1" applyFont="1" applyFill="1" applyBorder="1" applyAlignment="1" applyProtection="1">
      <alignment horizontal="center" vertical="center"/>
    </xf>
    <xf numFmtId="0" fontId="36" fillId="0" borderId="3" xfId="3" applyFont="1" applyBorder="1" applyAlignment="1" applyProtection="1">
      <alignment horizontal="center" vertical="center" wrapText="1"/>
      <protection locked="0"/>
    </xf>
    <xf numFmtId="168" fontId="36" fillId="2" borderId="3" xfId="2" applyNumberFormat="1" applyFont="1" applyFill="1" applyBorder="1" applyAlignment="1" applyProtection="1">
      <alignment horizontal="center" vertical="center"/>
    </xf>
    <xf numFmtId="168" fontId="36" fillId="5" borderId="3" xfId="2" applyNumberFormat="1" applyFont="1" applyFill="1" applyBorder="1" applyAlignment="1" applyProtection="1">
      <alignment horizontal="center" vertical="center"/>
    </xf>
    <xf numFmtId="0" fontId="36" fillId="12" borderId="0" xfId="3" applyFont="1" applyFill="1" applyProtection="1">
      <protection locked="0"/>
    </xf>
    <xf numFmtId="168" fontId="36" fillId="3" borderId="3" xfId="2" applyNumberFormat="1" applyFont="1" applyFill="1" applyBorder="1" applyAlignment="1" applyProtection="1">
      <alignment horizontal="center" vertical="center"/>
    </xf>
    <xf numFmtId="168" fontId="36" fillId="15" borderId="3" xfId="2" applyNumberFormat="1" applyFont="1" applyFill="1" applyBorder="1" applyAlignment="1" applyProtection="1">
      <alignment horizontal="center" vertical="center"/>
      <protection locked="0"/>
    </xf>
    <xf numFmtId="0" fontId="6" fillId="0" borderId="1" xfId="3" applyFont="1" applyBorder="1" applyAlignment="1" applyProtection="1">
      <alignment horizontal="center" vertical="center"/>
      <protection locked="0"/>
    </xf>
    <xf numFmtId="0" fontId="36" fillId="0" borderId="1" xfId="3" applyFont="1" applyBorder="1" applyAlignment="1" applyProtection="1">
      <alignment horizontal="center" vertical="center" wrapText="1"/>
      <protection locked="0"/>
    </xf>
    <xf numFmtId="168" fontId="36" fillId="2" borderId="1" xfId="2" applyNumberFormat="1" applyFont="1" applyFill="1" applyBorder="1" applyAlignment="1" applyProtection="1">
      <alignment horizontal="center" vertical="center"/>
    </xf>
    <xf numFmtId="0" fontId="6" fillId="0" borderId="1" xfId="3" applyFont="1" applyBorder="1" applyAlignment="1" applyProtection="1">
      <alignment horizontal="center" vertical="center" wrapText="1"/>
      <protection locked="0"/>
    </xf>
    <xf numFmtId="0" fontId="6" fillId="3" borderId="20" xfId="3" applyFont="1" applyFill="1" applyBorder="1" applyAlignment="1" applyProtection="1">
      <alignment horizontal="center" vertical="center"/>
      <protection locked="0"/>
    </xf>
    <xf numFmtId="0" fontId="6" fillId="3" borderId="21" xfId="3" applyFont="1" applyFill="1" applyBorder="1" applyAlignment="1" applyProtection="1">
      <alignment horizontal="center" vertical="center" wrapText="1"/>
      <protection locked="0"/>
    </xf>
    <xf numFmtId="168" fontId="6" fillId="3" borderId="21" xfId="2" applyNumberFormat="1" applyFont="1" applyFill="1" applyBorder="1" applyAlignment="1" applyProtection="1">
      <alignment horizontal="center" vertical="center"/>
    </xf>
    <xf numFmtId="0" fontId="36" fillId="0" borderId="0" xfId="3" applyFont="1" applyAlignment="1" applyProtection="1">
      <alignment horizontal="left"/>
      <protection locked="0"/>
    </xf>
    <xf numFmtId="168" fontId="36" fillId="15" borderId="1" xfId="2" applyNumberFormat="1" applyFont="1" applyFill="1" applyBorder="1" applyAlignment="1" applyProtection="1">
      <alignment horizontal="center" vertical="center"/>
      <protection locked="0"/>
    </xf>
    <xf numFmtId="168" fontId="36" fillId="3" borderId="1" xfId="2" applyNumberFormat="1" applyFont="1" applyFill="1" applyBorder="1" applyAlignment="1" applyProtection="1">
      <alignment horizontal="center" vertical="center"/>
    </xf>
    <xf numFmtId="0" fontId="6" fillId="3" borderId="21" xfId="3" applyFont="1" applyFill="1" applyBorder="1" applyAlignment="1" applyProtection="1">
      <alignment horizontal="center" vertical="center"/>
      <protection locked="0"/>
    </xf>
    <xf numFmtId="168" fontId="6" fillId="3" borderId="23" xfId="2" applyNumberFormat="1" applyFont="1" applyFill="1" applyBorder="1" applyAlignment="1" applyProtection="1">
      <alignment horizontal="center" vertical="center"/>
    </xf>
    <xf numFmtId="168" fontId="36" fillId="0" borderId="0" xfId="3" applyNumberFormat="1" applyFont="1"/>
    <xf numFmtId="10" fontId="38" fillId="4" borderId="0" xfId="1" applyNumberFormat="1" applyFont="1" applyProtection="1"/>
    <xf numFmtId="2" fontId="38" fillId="4" borderId="0" xfId="1" applyNumberFormat="1" applyFont="1" applyProtection="1"/>
    <xf numFmtId="14" fontId="24" fillId="15" borderId="0" xfId="0" applyNumberFormat="1" applyFont="1" applyFill="1" applyProtection="1">
      <protection locked="0"/>
    </xf>
    <xf numFmtId="0" fontId="24" fillId="0" borderId="0" xfId="0" applyFont="1"/>
    <xf numFmtId="165" fontId="26" fillId="0" borderId="0" xfId="6" applyNumberFormat="1" applyFont="1" applyProtection="1"/>
    <xf numFmtId="171" fontId="24" fillId="15" borderId="0" xfId="0" applyNumberFormat="1" applyFont="1" applyFill="1" applyProtection="1">
      <protection locked="0"/>
    </xf>
    <xf numFmtId="165" fontId="23" fillId="0" borderId="0" xfId="6" applyNumberFormat="1" applyFont="1" applyProtection="1"/>
    <xf numFmtId="9" fontId="24" fillId="15" borderId="0" xfId="5" applyFont="1" applyFill="1" applyProtection="1">
      <protection locked="0"/>
    </xf>
    <xf numFmtId="9" fontId="26" fillId="15" borderId="0" xfId="0" applyNumberFormat="1" applyFont="1" applyFill="1" applyProtection="1">
      <protection locked="0"/>
    </xf>
    <xf numFmtId="0" fontId="25" fillId="0" borderId="0" xfId="0" applyFont="1" applyProtection="1">
      <protection locked="0"/>
    </xf>
    <xf numFmtId="0" fontId="27" fillId="15" borderId="3" xfId="0" applyFont="1" applyFill="1" applyBorder="1" applyAlignment="1" applyProtection="1">
      <alignment horizontal="justify" vertical="center" wrapText="1"/>
      <protection locked="0"/>
    </xf>
    <xf numFmtId="0" fontId="26" fillId="15" borderId="3" xfId="0" applyFont="1" applyFill="1" applyBorder="1" applyAlignment="1" applyProtection="1">
      <alignment vertical="top" wrapText="1"/>
      <protection locked="0"/>
    </xf>
    <xf numFmtId="0" fontId="26" fillId="15" borderId="3" xfId="0" applyFont="1" applyFill="1" applyBorder="1" applyAlignment="1" applyProtection="1">
      <alignment horizontal="left" wrapText="1"/>
      <protection locked="0"/>
    </xf>
    <xf numFmtId="171" fontId="27" fillId="15" borderId="3" xfId="0" applyNumberFormat="1" applyFont="1" applyFill="1" applyBorder="1" applyAlignment="1" applyProtection="1">
      <alignment horizontal="justify" vertical="center" wrapText="1"/>
      <protection locked="0"/>
    </xf>
    <xf numFmtId="164" fontId="27" fillId="15" borderId="3" xfId="0" applyNumberFormat="1" applyFont="1" applyFill="1" applyBorder="1" applyAlignment="1" applyProtection="1">
      <alignment horizontal="left" wrapText="1"/>
      <protection locked="0"/>
    </xf>
    <xf numFmtId="171" fontId="27" fillId="15" borderId="17" xfId="0" applyNumberFormat="1" applyFont="1" applyFill="1" applyBorder="1" applyAlignment="1" applyProtection="1">
      <alignment horizontal="justify" vertical="center" wrapText="1"/>
      <protection locked="0"/>
    </xf>
    <xf numFmtId="164" fontId="27" fillId="15" borderId="17" xfId="0" applyNumberFormat="1" applyFont="1" applyFill="1" applyBorder="1" applyAlignment="1" applyProtection="1">
      <alignment horizontal="justify" vertical="center" wrapText="1"/>
      <protection locked="0"/>
    </xf>
    <xf numFmtId="0" fontId="27" fillId="15" borderId="25" xfId="0" applyFont="1" applyFill="1" applyBorder="1" applyAlignment="1" applyProtection="1">
      <alignment horizontal="justify" vertical="center" wrapText="1"/>
      <protection locked="0"/>
    </xf>
    <xf numFmtId="171" fontId="27" fillId="15" borderId="26" xfId="0" applyNumberFormat="1" applyFont="1" applyFill="1" applyBorder="1" applyAlignment="1" applyProtection="1">
      <alignment horizontal="justify" vertical="center" wrapText="1"/>
      <protection locked="0"/>
    </xf>
    <xf numFmtId="0" fontId="32" fillId="15" borderId="0" xfId="0" applyFont="1" applyFill="1" applyAlignment="1" applyProtection="1">
      <alignment horizontal="justify" vertical="center" wrapText="1"/>
      <protection locked="0"/>
    </xf>
    <xf numFmtId="0" fontId="32" fillId="15" borderId="27" xfId="0" applyFont="1" applyFill="1" applyBorder="1" applyAlignment="1" applyProtection="1">
      <alignment horizontal="justify" vertical="center" wrapText="1"/>
      <protection locked="0"/>
    </xf>
    <xf numFmtId="0" fontId="26" fillId="15" borderId="26" xfId="0" applyFont="1" applyFill="1" applyBorder="1" applyAlignment="1" applyProtection="1">
      <alignment vertical="top" wrapText="1"/>
      <protection locked="0"/>
    </xf>
    <xf numFmtId="0" fontId="32" fillId="15" borderId="26" xfId="0" applyFont="1" applyFill="1" applyBorder="1" applyAlignment="1" applyProtection="1">
      <alignment horizontal="left" wrapText="1"/>
      <protection locked="0"/>
    </xf>
    <xf numFmtId="0" fontId="32" fillId="15" borderId="26" xfId="0" applyFont="1" applyFill="1" applyBorder="1" applyAlignment="1" applyProtection="1">
      <alignment horizontal="justify" vertical="center" wrapText="1"/>
      <protection locked="0"/>
    </xf>
    <xf numFmtId="0" fontId="26" fillId="15" borderId="27" xfId="0" applyFont="1" applyFill="1" applyBorder="1" applyAlignment="1" applyProtection="1">
      <alignment vertical="top" wrapText="1"/>
      <protection locked="0"/>
    </xf>
    <xf numFmtId="0" fontId="26" fillId="15" borderId="29" xfId="0" applyFont="1" applyFill="1" applyBorder="1" applyAlignment="1" applyProtection="1">
      <alignment vertical="top" wrapText="1"/>
      <protection locked="0"/>
    </xf>
    <xf numFmtId="0" fontId="32" fillId="15" borderId="30" xfId="0" applyFont="1" applyFill="1" applyBorder="1" applyAlignment="1" applyProtection="1">
      <alignment horizontal="left" wrapText="1"/>
      <protection locked="0"/>
    </xf>
    <xf numFmtId="0" fontId="32" fillId="15" borderId="30" xfId="0" applyFont="1" applyFill="1" applyBorder="1" applyAlignment="1" applyProtection="1">
      <alignment horizontal="justify" vertical="center" wrapText="1"/>
      <protection locked="0"/>
    </xf>
    <xf numFmtId="171" fontId="27" fillId="15" borderId="28" xfId="0" applyNumberFormat="1" applyFont="1" applyFill="1" applyBorder="1" applyAlignment="1" applyProtection="1">
      <alignment horizontal="justify" vertical="center" wrapText="1"/>
      <protection locked="0"/>
    </xf>
    <xf numFmtId="0" fontId="27" fillId="15" borderId="28" xfId="0" applyFont="1" applyFill="1" applyBorder="1" applyAlignment="1" applyProtection="1">
      <alignment horizontal="justify" vertical="center" wrapText="1"/>
      <protection locked="0"/>
    </xf>
    <xf numFmtId="0" fontId="32" fillId="0" borderId="18" xfId="0" applyFont="1" applyBorder="1" applyAlignment="1">
      <alignment horizontal="justify" vertical="top" wrapText="1"/>
    </xf>
    <xf numFmtId="0" fontId="32" fillId="0" borderId="24" xfId="0" applyFont="1" applyBorder="1" applyAlignment="1">
      <alignment horizontal="justify" vertical="top" wrapText="1"/>
    </xf>
    <xf numFmtId="0" fontId="26" fillId="0" borderId="14" xfId="0" applyFont="1" applyBorder="1" applyAlignment="1">
      <alignment horizontal="justify" wrapText="1"/>
    </xf>
    <xf numFmtId="0" fontId="32" fillId="0" borderId="31" xfId="0" applyFont="1" applyBorder="1" applyAlignment="1">
      <alignment horizontal="justify" vertical="top" wrapText="1"/>
    </xf>
    <xf numFmtId="0" fontId="32" fillId="15" borderId="18" xfId="0" applyFont="1" applyFill="1" applyBorder="1" applyAlignment="1" applyProtection="1">
      <alignment horizontal="justify" vertical="center" wrapText="1"/>
      <protection locked="0"/>
    </xf>
    <xf numFmtId="0" fontId="27" fillId="15" borderId="18" xfId="0" applyFont="1" applyFill="1" applyBorder="1" applyAlignment="1" applyProtection="1">
      <alignment horizontal="justify" vertical="center" wrapText="1"/>
      <protection locked="0"/>
    </xf>
    <xf numFmtId="0" fontId="27" fillId="15" borderId="27" xfId="0" applyFont="1" applyFill="1" applyBorder="1" applyAlignment="1" applyProtection="1">
      <alignment horizontal="justify" vertical="center" wrapText="1"/>
      <protection locked="0"/>
    </xf>
    <xf numFmtId="0" fontId="26" fillId="15" borderId="18" xfId="0" applyFont="1" applyFill="1" applyBorder="1" applyAlignment="1" applyProtection="1">
      <alignment vertical="top" wrapText="1"/>
      <protection locked="0"/>
    </xf>
    <xf numFmtId="171" fontId="27" fillId="15" borderId="27" xfId="0" applyNumberFormat="1" applyFont="1" applyFill="1" applyBorder="1" applyAlignment="1" applyProtection="1">
      <alignment horizontal="justify" vertical="center" wrapText="1"/>
      <protection locked="0"/>
    </xf>
    <xf numFmtId="0" fontId="27" fillId="15" borderId="18" xfId="0" applyFont="1" applyFill="1" applyBorder="1" applyAlignment="1" applyProtection="1">
      <alignment horizontal="left" wrapText="1"/>
      <protection locked="0"/>
    </xf>
    <xf numFmtId="0" fontId="32" fillId="15" borderId="27" xfId="0" applyFont="1" applyFill="1" applyBorder="1" applyAlignment="1" applyProtection="1">
      <alignment horizontal="left" wrapText="1"/>
      <protection locked="0"/>
    </xf>
    <xf numFmtId="0" fontId="26" fillId="15" borderId="27" xfId="0" applyFont="1" applyFill="1" applyBorder="1" applyAlignment="1" applyProtection="1">
      <alignment horizontal="left" wrapText="1"/>
      <protection locked="0"/>
    </xf>
    <xf numFmtId="164" fontId="27" fillId="15" borderId="27" xfId="0" applyNumberFormat="1" applyFont="1" applyFill="1" applyBorder="1" applyAlignment="1" applyProtection="1">
      <alignment horizontal="left" wrapText="1"/>
      <protection locked="0"/>
    </xf>
    <xf numFmtId="171" fontId="27" fillId="15" borderId="18" xfId="0" applyNumberFormat="1" applyFont="1" applyFill="1" applyBorder="1" applyAlignment="1" applyProtection="1">
      <alignment horizontal="justify" vertical="center" wrapText="1"/>
      <protection locked="0"/>
    </xf>
    <xf numFmtId="0" fontId="32" fillId="0" borderId="32" xfId="0" applyFont="1" applyBorder="1" applyAlignment="1">
      <alignment horizontal="justify" vertical="top" wrapText="1"/>
    </xf>
    <xf numFmtId="0" fontId="32" fillId="0" borderId="17" xfId="0" applyFont="1" applyBorder="1" applyAlignment="1">
      <alignment horizontal="justify" vertical="center" wrapText="1"/>
    </xf>
    <xf numFmtId="171" fontId="32" fillId="0" borderId="17" xfId="0" applyNumberFormat="1" applyFont="1" applyBorder="1" applyAlignment="1">
      <alignment horizontal="justify" vertical="center" wrapText="1"/>
    </xf>
    <xf numFmtId="0" fontId="26" fillId="0" borderId="14" xfId="0" applyFont="1" applyBorder="1"/>
    <xf numFmtId="0" fontId="26" fillId="0" borderId="4" xfId="0" applyFont="1" applyBorder="1"/>
    <xf numFmtId="0" fontId="25" fillId="0" borderId="0" xfId="0" applyFont="1"/>
    <xf numFmtId="2" fontId="24" fillId="0" borderId="0" xfId="0" applyNumberFormat="1" applyFont="1"/>
    <xf numFmtId="0" fontId="4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3" fillId="6" borderId="12" xfId="0" applyFont="1" applyFill="1" applyBorder="1" applyAlignment="1">
      <alignment horizontal="left" vertical="center"/>
    </xf>
    <xf numFmtId="0" fontId="23" fillId="6" borderId="0" xfId="0" applyFont="1" applyFill="1" applyAlignment="1">
      <alignment horizontal="left" vertical="center"/>
    </xf>
    <xf numFmtId="171" fontId="24" fillId="0" borderId="0" xfId="0" applyNumberFormat="1" applyFont="1"/>
    <xf numFmtId="165" fontId="24" fillId="0" borderId="0" xfId="0" applyNumberFormat="1" applyFont="1"/>
    <xf numFmtId="10" fontId="24" fillId="0" borderId="0" xfId="0" applyNumberFormat="1" applyFont="1"/>
    <xf numFmtId="0" fontId="0" fillId="0" borderId="0" xfId="0" applyAlignment="1">
      <alignment horizontal="left" vertical="top" wrapText="1"/>
    </xf>
    <xf numFmtId="0" fontId="26" fillId="0" borderId="0" xfId="0" applyFont="1" applyAlignment="1">
      <alignment horizontal="right"/>
    </xf>
    <xf numFmtId="0" fontId="26" fillId="12" borderId="0" xfId="0" applyFont="1" applyFill="1" applyAlignment="1">
      <alignment horizontal="right"/>
    </xf>
    <xf numFmtId="171" fontId="26" fillId="12" borderId="0" xfId="0" applyNumberFormat="1" applyFont="1" applyFill="1"/>
    <xf numFmtId="9" fontId="26" fillId="0" borderId="0" xfId="0" applyNumberFormat="1" applyFont="1"/>
    <xf numFmtId="171" fontId="26" fillId="10" borderId="0" xfId="0" applyNumberFormat="1" applyFont="1" applyFill="1"/>
    <xf numFmtId="0" fontId="27" fillId="0" borderId="0" xfId="0" applyFont="1" applyAlignment="1">
      <alignment horizontal="right" vertical="center" wrapText="1"/>
    </xf>
    <xf numFmtId="4" fontId="23" fillId="0" borderId="0" xfId="0" applyNumberFormat="1" applyFont="1"/>
    <xf numFmtId="4" fontId="26" fillId="0" borderId="0" xfId="0" applyNumberFormat="1" applyFont="1"/>
    <xf numFmtId="164" fontId="26" fillId="0" borderId="0" xfId="0" applyNumberFormat="1" applyFont="1"/>
    <xf numFmtId="9" fontId="24" fillId="0" borderId="0" xfId="0" applyNumberFormat="1" applyFont="1"/>
    <xf numFmtId="171" fontId="24" fillId="14" borderId="0" xfId="0" applyNumberFormat="1" applyFont="1" applyFill="1"/>
    <xf numFmtId="0" fontId="45" fillId="0" borderId="0" xfId="0" quotePrefix="1" applyFont="1"/>
    <xf numFmtId="14" fontId="29" fillId="11" borderId="3" xfId="0" applyNumberFormat="1" applyFont="1" applyFill="1" applyBorder="1" applyAlignment="1">
      <alignment horizontal="center" vertical="center" wrapText="1"/>
    </xf>
    <xf numFmtId="4" fontId="26" fillId="13" borderId="3" xfId="0" applyNumberFormat="1" applyFont="1" applyFill="1" applyBorder="1" applyAlignment="1">
      <alignment horizontal="right"/>
    </xf>
    <xf numFmtId="4" fontId="26" fillId="0" borderId="3" xfId="0" applyNumberFormat="1" applyFont="1" applyBorder="1" applyAlignment="1">
      <alignment horizontal="right"/>
    </xf>
    <xf numFmtId="4" fontId="23" fillId="13" borderId="3" xfId="0" applyNumberFormat="1" applyFont="1" applyFill="1" applyBorder="1" applyAlignment="1">
      <alignment horizontal="right"/>
    </xf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3" fillId="0" borderId="0" xfId="0" applyFont="1"/>
    <xf numFmtId="0" fontId="23" fillId="0" borderId="0" xfId="0" quotePrefix="1" applyFont="1"/>
    <xf numFmtId="166" fontId="26" fillId="0" borderId="0" xfId="6" quotePrefix="1" applyFont="1" applyProtection="1"/>
    <xf numFmtId="166" fontId="26" fillId="0" borderId="0" xfId="6" applyFont="1" applyAlignment="1" applyProtection="1">
      <alignment horizontal="right"/>
    </xf>
    <xf numFmtId="0" fontId="24" fillId="5" borderId="3" xfId="0" applyFont="1" applyFill="1" applyBorder="1"/>
    <xf numFmtId="0" fontId="23" fillId="5" borderId="3" xfId="0" applyFont="1" applyFill="1" applyBorder="1"/>
    <xf numFmtId="4" fontId="23" fillId="5" borderId="3" xfId="0" applyNumberFormat="1" applyFont="1" applyFill="1" applyBorder="1"/>
    <xf numFmtId="0" fontId="24" fillId="0" borderId="3" xfId="0" applyFont="1" applyBorder="1"/>
    <xf numFmtId="0" fontId="24" fillId="12" borderId="3" xfId="0" applyFont="1" applyFill="1" applyBorder="1"/>
    <xf numFmtId="4" fontId="24" fillId="0" borderId="3" xfId="0" applyNumberFormat="1" applyFont="1" applyBorder="1"/>
    <xf numFmtId="0" fontId="23" fillId="0" borderId="3" xfId="0" applyFont="1" applyBorder="1"/>
    <xf numFmtId="4" fontId="23" fillId="0" borderId="3" xfId="0" applyNumberFormat="1" applyFont="1" applyBorder="1"/>
    <xf numFmtId="14" fontId="24" fillId="0" borderId="3" xfId="0" applyNumberFormat="1" applyFont="1" applyBorder="1" applyAlignment="1">
      <alignment horizontal="right"/>
    </xf>
    <xf numFmtId="14" fontId="24" fillId="0" borderId="3" xfId="0" applyNumberFormat="1" applyFont="1" applyBorder="1"/>
    <xf numFmtId="0" fontId="23" fillId="6" borderId="10" xfId="0" applyFont="1" applyFill="1" applyBorder="1" applyAlignment="1">
      <alignment horizontal="left" vertical="center"/>
    </xf>
    <xf numFmtId="2" fontId="26" fillId="0" borderId="3" xfId="0" applyNumberFormat="1" applyFont="1" applyBorder="1"/>
    <xf numFmtId="0" fontId="29" fillId="11" borderId="3" xfId="0" applyFont="1" applyFill="1" applyBorder="1" applyAlignment="1">
      <alignment horizontal="center" vertical="center" wrapText="1"/>
    </xf>
    <xf numFmtId="2" fontId="26" fillId="15" borderId="3" xfId="0" applyNumberFormat="1" applyFont="1" applyFill="1" applyBorder="1"/>
    <xf numFmtId="4" fontId="26" fillId="15" borderId="3" xfId="0" applyNumberFormat="1" applyFont="1" applyFill="1" applyBorder="1" applyAlignment="1">
      <alignment horizontal="right"/>
    </xf>
    <xf numFmtId="2" fontId="23" fillId="0" borderId="3" xfId="0" applyNumberFormat="1" applyFont="1" applyBorder="1"/>
    <xf numFmtId="4" fontId="23" fillId="0" borderId="3" xfId="0" applyNumberFormat="1" applyFont="1" applyBorder="1" applyAlignment="1">
      <alignment horizontal="right"/>
    </xf>
    <xf numFmtId="0" fontId="26" fillId="0" borderId="3" xfId="0" applyFont="1" applyBorder="1"/>
    <xf numFmtId="170" fontId="30" fillId="0" borderId="0" xfId="0" applyNumberFormat="1" applyFont="1"/>
    <xf numFmtId="0" fontId="30" fillId="0" borderId="0" xfId="0" applyFont="1"/>
    <xf numFmtId="2" fontId="26" fillId="0" borderId="3" xfId="0" quotePrefix="1" applyNumberFormat="1" applyFont="1" applyBorder="1"/>
    <xf numFmtId="2" fontId="26" fillId="15" borderId="3" xfId="0" applyNumberFormat="1" applyFont="1" applyFill="1" applyBorder="1" applyAlignment="1">
      <alignment wrapText="1"/>
    </xf>
    <xf numFmtId="2" fontId="26" fillId="0" borderId="3" xfId="0" applyNumberFormat="1" applyFont="1" applyBorder="1" applyAlignment="1">
      <alignment vertical="top" wrapText="1"/>
    </xf>
    <xf numFmtId="4" fontId="26" fillId="0" borderId="3" xfId="0" applyNumberFormat="1" applyFont="1" applyBorder="1" applyAlignment="1">
      <alignment horizontal="center" vertical="center"/>
    </xf>
    <xf numFmtId="0" fontId="27" fillId="0" borderId="0" xfId="0" applyFont="1"/>
    <xf numFmtId="9" fontId="0" fillId="0" borderId="0" xfId="0" applyNumberFormat="1"/>
    <xf numFmtId="166" fontId="0" fillId="0" borderId="0" xfId="6" applyFont="1" applyProtection="1"/>
    <xf numFmtId="0" fontId="47" fillId="0" borderId="0" xfId="0" applyFont="1"/>
    <xf numFmtId="164" fontId="0" fillId="0" borderId="0" xfId="0" applyNumberFormat="1"/>
    <xf numFmtId="0" fontId="0" fillId="0" borderId="0" xfId="0" applyAlignment="1">
      <alignment horizontal="right"/>
    </xf>
    <xf numFmtId="0" fontId="26" fillId="8" borderId="0" xfId="0" applyFont="1" applyFill="1"/>
    <xf numFmtId="0" fontId="23" fillId="8" borderId="0" xfId="0" applyFont="1" applyFill="1"/>
    <xf numFmtId="2" fontId="23" fillId="6" borderId="3" xfId="0" applyNumberFormat="1" applyFont="1" applyFill="1" applyBorder="1"/>
    <xf numFmtId="4" fontId="23" fillId="6" borderId="3" xfId="0" applyNumberFormat="1" applyFont="1" applyFill="1" applyBorder="1" applyAlignment="1">
      <alignment horizontal="right"/>
    </xf>
    <xf numFmtId="0" fontId="26" fillId="6" borderId="0" xfId="0" applyFont="1" applyFill="1"/>
    <xf numFmtId="2" fontId="26" fillId="12" borderId="3" xfId="0" applyNumberFormat="1" applyFont="1" applyFill="1" applyBorder="1" applyAlignment="1" applyProtection="1">
      <alignment wrapText="1"/>
      <protection locked="0"/>
    </xf>
    <xf numFmtId="4" fontId="26" fillId="12" borderId="3" xfId="0" applyNumberFormat="1" applyFont="1" applyFill="1" applyBorder="1" applyAlignment="1" applyProtection="1">
      <alignment horizontal="right"/>
      <protection locked="0"/>
    </xf>
    <xf numFmtId="0" fontId="22" fillId="0" borderId="0" xfId="0" applyFont="1"/>
    <xf numFmtId="171" fontId="22" fillId="0" borderId="0" xfId="0" applyNumberFormat="1" applyFont="1"/>
    <xf numFmtId="0" fontId="26" fillId="9" borderId="0" xfId="0" applyFont="1" applyFill="1"/>
    <xf numFmtId="171" fontId="26" fillId="0" borderId="0" xfId="0" applyNumberFormat="1" applyFont="1" applyAlignment="1">
      <alignment horizontal="left"/>
    </xf>
    <xf numFmtId="171" fontId="26" fillId="7" borderId="0" xfId="0" applyNumberFormat="1" applyFont="1" applyFill="1"/>
    <xf numFmtId="2" fontId="26" fillId="0" borderId="0" xfId="0" applyNumberFormat="1" applyFont="1"/>
    <xf numFmtId="0" fontId="26" fillId="16" borderId="0" xfId="0" applyFont="1" applyFill="1"/>
    <xf numFmtId="170" fontId="24" fillId="0" borderId="0" xfId="0" applyNumberFormat="1" applyFont="1"/>
    <xf numFmtId="0" fontId="24" fillId="10" borderId="0" xfId="0" applyFont="1" applyFill="1"/>
    <xf numFmtId="170" fontId="24" fillId="12" borderId="0" xfId="0" applyNumberFormat="1" applyFont="1" applyFill="1"/>
    <xf numFmtId="14" fontId="24" fillId="0" borderId="0" xfId="0" applyNumberFormat="1" applyFont="1"/>
    <xf numFmtId="0" fontId="48" fillId="0" borderId="0" xfId="0" applyFont="1"/>
    <xf numFmtId="1" fontId="24" fillId="0" borderId="0" xfId="0" applyNumberFormat="1" applyFont="1"/>
    <xf numFmtId="170" fontId="23" fillId="10" borderId="0" xfId="0" applyNumberFormat="1" applyFont="1" applyFill="1"/>
    <xf numFmtId="9" fontId="24" fillId="12" borderId="0" xfId="0" applyNumberFormat="1" applyFont="1" applyFill="1"/>
    <xf numFmtId="171" fontId="24" fillId="10" borderId="0" xfId="0" applyNumberFormat="1" applyFont="1" applyFill="1"/>
    <xf numFmtId="165" fontId="24" fillId="14" borderId="0" xfId="0" applyNumberFormat="1" applyFont="1" applyFill="1"/>
    <xf numFmtId="0" fontId="38" fillId="4" borderId="0" xfId="1" applyFont="1" applyProtection="1"/>
    <xf numFmtId="0" fontId="26" fillId="0" borderId="0" xfId="0" applyFont="1" applyAlignment="1">
      <alignment wrapText="1"/>
    </xf>
    <xf numFmtId="0" fontId="38" fillId="4" borderId="0" xfId="1" applyFont="1" applyAlignment="1" applyProtection="1">
      <alignment wrapText="1"/>
    </xf>
    <xf numFmtId="0" fontId="24" fillId="0" borderId="0" xfId="0" applyFont="1" applyAlignment="1">
      <alignment horizontal="right"/>
    </xf>
    <xf numFmtId="171" fontId="24" fillId="5" borderId="0" xfId="0" applyNumberFormat="1" applyFont="1" applyFill="1"/>
    <xf numFmtId="0" fontId="0" fillId="0" borderId="0" xfId="0" applyAlignment="1">
      <alignment wrapText="1"/>
    </xf>
    <xf numFmtId="0" fontId="24" fillId="6" borderId="0" xfId="0" applyFont="1" applyFill="1" applyAlignment="1">
      <alignment horizontal="left" vertical="center" wrapText="1"/>
    </xf>
    <xf numFmtId="2" fontId="26" fillId="14" borderId="0" xfId="0" applyNumberFormat="1" applyFont="1" applyFill="1"/>
    <xf numFmtId="0" fontId="26" fillId="0" borderId="15" xfId="0" applyFont="1" applyBorder="1" applyAlignment="1" applyProtection="1">
      <alignment horizontal="right" wrapText="1"/>
      <protection locked="0"/>
    </xf>
    <xf numFmtId="0" fontId="26" fillId="0" borderId="15" xfId="0" applyFont="1" applyBorder="1" applyProtection="1">
      <protection locked="0"/>
    </xf>
    <xf numFmtId="0" fontId="49" fillId="17" borderId="0" xfId="0" applyFont="1" applyFill="1"/>
    <xf numFmtId="0" fontId="32" fillId="15" borderId="17" xfId="0" applyFont="1" applyFill="1" applyBorder="1" applyAlignment="1" applyProtection="1">
      <alignment horizontal="left" vertical="center" wrapText="1"/>
      <protection locked="0"/>
    </xf>
    <xf numFmtId="0" fontId="32" fillId="0" borderId="35" xfId="0" applyFont="1" applyBorder="1" applyAlignment="1">
      <alignment horizontal="justify" vertical="center" wrapText="1"/>
    </xf>
    <xf numFmtId="0" fontId="32" fillId="0" borderId="32" xfId="0" applyFont="1" applyBorder="1" applyAlignment="1">
      <alignment horizontal="justify" vertical="center" wrapText="1"/>
    </xf>
    <xf numFmtId="171" fontId="51" fillId="0" borderId="0" xfId="0" applyNumberFormat="1" applyFont="1" applyAlignment="1">
      <alignment horizontal="left"/>
    </xf>
    <xf numFmtId="9" fontId="24" fillId="0" borderId="0" xfId="5" applyFont="1"/>
    <xf numFmtId="4" fontId="26" fillId="12" borderId="3" xfId="0" applyNumberFormat="1" applyFont="1" applyFill="1" applyBorder="1" applyAlignment="1">
      <alignment horizontal="right"/>
    </xf>
    <xf numFmtId="170" fontId="24" fillId="15" borderId="0" xfId="0" applyNumberFormat="1" applyFont="1" applyFill="1"/>
    <xf numFmtId="0" fontId="52" fillId="0" borderId="0" xfId="0" quotePrefix="1" applyFont="1"/>
    <xf numFmtId="0" fontId="6" fillId="0" borderId="0" xfId="4" applyFont="1" applyAlignment="1">
      <alignment horizontal="center" vertical="center" wrapText="1"/>
    </xf>
    <xf numFmtId="0" fontId="7" fillId="0" borderId="0" xfId="4" applyFont="1" applyAlignment="1">
      <alignment horizontal="center" vertical="center"/>
    </xf>
    <xf numFmtId="0" fontId="3" fillId="0" borderId="6" xfId="4" applyFont="1" applyBorder="1" applyAlignment="1">
      <alignment horizontal="center" vertical="top"/>
    </xf>
    <xf numFmtId="0" fontId="8" fillId="0" borderId="7" xfId="4" applyFont="1" applyBorder="1" applyAlignment="1">
      <alignment horizontal="center" vertical="top"/>
    </xf>
    <xf numFmtId="0" fontId="9" fillId="0" borderId="8" xfId="4" applyFont="1" applyBorder="1" applyAlignment="1">
      <alignment horizontal="center" vertical="top"/>
    </xf>
    <xf numFmtId="0" fontId="9" fillId="0" borderId="9" xfId="4" applyFont="1" applyBorder="1" applyAlignment="1">
      <alignment horizontal="center" vertical="top"/>
    </xf>
    <xf numFmtId="49" fontId="3" fillId="0" borderId="6" xfId="4" applyNumberFormat="1" applyFont="1" applyBorder="1" applyAlignment="1">
      <alignment horizontal="left" vertical="center"/>
    </xf>
    <xf numFmtId="49" fontId="3" fillId="0" borderId="7" xfId="4" applyNumberFormat="1" applyFont="1" applyBorder="1" applyAlignment="1">
      <alignment horizontal="left" vertical="center"/>
    </xf>
    <xf numFmtId="49" fontId="3" fillId="0" borderId="10" xfId="4" applyNumberFormat="1" applyFont="1" applyBorder="1" applyAlignment="1">
      <alignment horizontal="left" vertical="center" indent="1"/>
    </xf>
    <xf numFmtId="49" fontId="3" fillId="0" borderId="11" xfId="4" applyNumberFormat="1" applyFont="1" applyBorder="1" applyAlignment="1">
      <alignment horizontal="left" vertical="center" indent="1"/>
    </xf>
    <xf numFmtId="49" fontId="4" fillId="0" borderId="3" xfId="4" applyNumberFormat="1" applyFont="1" applyBorder="1" applyAlignment="1">
      <alignment horizontal="left" vertical="center" indent="2"/>
    </xf>
    <xf numFmtId="49" fontId="4" fillId="0" borderId="10" xfId="4" applyNumberFormat="1" applyFont="1" applyBorder="1" applyAlignment="1">
      <alignment horizontal="left" vertical="center" indent="2"/>
    </xf>
    <xf numFmtId="49" fontId="4" fillId="0" borderId="11" xfId="4" applyNumberFormat="1" applyFont="1" applyBorder="1" applyAlignment="1">
      <alignment horizontal="left" vertical="center" indent="2"/>
    </xf>
    <xf numFmtId="49" fontId="4" fillId="0" borderId="1" xfId="4" applyNumberFormat="1" applyFont="1" applyBorder="1" applyAlignment="1">
      <alignment horizontal="left" vertical="center" indent="2"/>
    </xf>
    <xf numFmtId="49" fontId="3" fillId="0" borderId="3" xfId="4" applyNumberFormat="1" applyFont="1" applyBorder="1" applyAlignment="1">
      <alignment horizontal="left" vertical="center"/>
    </xf>
    <xf numFmtId="49" fontId="4" fillId="0" borderId="6" xfId="4" applyNumberFormat="1" applyFont="1" applyBorder="1" applyAlignment="1">
      <alignment horizontal="left" vertical="center" indent="2"/>
    </xf>
    <xf numFmtId="49" fontId="4" fillId="0" borderId="7" xfId="4" applyNumberFormat="1" applyFont="1" applyBorder="1" applyAlignment="1">
      <alignment horizontal="left" vertical="center" indent="2"/>
    </xf>
    <xf numFmtId="49" fontId="4" fillId="0" borderId="3" xfId="4" applyNumberFormat="1" applyFont="1" applyBorder="1" applyAlignment="1">
      <alignment horizontal="left" vertical="center" indent="3"/>
    </xf>
    <xf numFmtId="49" fontId="4" fillId="0" borderId="3" xfId="4" applyNumberFormat="1" applyFont="1" applyBorder="1" applyAlignment="1">
      <alignment horizontal="left" vertical="center" indent="4"/>
    </xf>
    <xf numFmtId="49" fontId="4" fillId="0" borderId="10" xfId="4" applyNumberFormat="1" applyFont="1" applyBorder="1" applyAlignment="1">
      <alignment horizontal="left" vertical="center" indent="3"/>
    </xf>
    <xf numFmtId="49" fontId="4" fillId="0" borderId="11" xfId="4" applyNumberFormat="1" applyFont="1" applyBorder="1" applyAlignment="1">
      <alignment horizontal="left" vertical="center" indent="3"/>
    </xf>
    <xf numFmtId="49" fontId="3" fillId="0" borderId="10" xfId="4" applyNumberFormat="1" applyFont="1" applyBorder="1" applyAlignment="1">
      <alignment horizontal="left" vertical="center"/>
    </xf>
    <xf numFmtId="49" fontId="3" fillId="0" borderId="11" xfId="4" applyNumberFormat="1" applyFont="1" applyBorder="1" applyAlignment="1">
      <alignment horizontal="left" vertical="center"/>
    </xf>
    <xf numFmtId="49" fontId="3" fillId="0" borderId="3" xfId="4" applyNumberFormat="1" applyFont="1" applyBorder="1" applyAlignment="1">
      <alignment horizontal="left" vertical="center" indent="1"/>
    </xf>
    <xf numFmtId="49" fontId="4" fillId="0" borderId="10" xfId="4" applyNumberFormat="1" applyFont="1" applyBorder="1" applyAlignment="1">
      <alignment horizontal="left" vertical="center" indent="1"/>
    </xf>
    <xf numFmtId="49" fontId="4" fillId="0" borderId="11" xfId="4" applyNumberFormat="1" applyFont="1" applyBorder="1" applyAlignment="1">
      <alignment horizontal="left" vertical="center" indent="1"/>
    </xf>
    <xf numFmtId="49" fontId="3" fillId="0" borderId="10" xfId="4" applyNumberFormat="1" applyFont="1" applyBorder="1" applyAlignment="1">
      <alignment horizontal="left" vertical="top" indent="1"/>
    </xf>
    <xf numFmtId="49" fontId="3" fillId="0" borderId="11" xfId="4" applyNumberFormat="1" applyFont="1" applyBorder="1" applyAlignment="1">
      <alignment horizontal="left" vertical="top" indent="1"/>
    </xf>
    <xf numFmtId="0" fontId="40" fillId="0" borderId="0" xfId="0" applyFont="1" applyAlignment="1">
      <alignment wrapText="1"/>
    </xf>
    <xf numFmtId="0" fontId="41" fillId="6" borderId="12" xfId="0" applyFont="1" applyFill="1" applyBorder="1" applyAlignment="1">
      <alignment horizontal="left" vertical="center"/>
    </xf>
    <xf numFmtId="0" fontId="41" fillId="6" borderId="0" xfId="0" applyFont="1" applyFill="1" applyAlignment="1">
      <alignment horizontal="left" vertical="center"/>
    </xf>
    <xf numFmtId="0" fontId="40" fillId="0" borderId="0" xfId="0" applyFont="1"/>
    <xf numFmtId="0" fontId="44" fillId="11" borderId="0" xfId="0" applyFont="1" applyFill="1" applyAlignment="1">
      <alignment wrapText="1"/>
    </xf>
    <xf numFmtId="0" fontId="44" fillId="0" borderId="0" xfId="0" applyFont="1"/>
    <xf numFmtId="0" fontId="0" fillId="0" borderId="0" xfId="0" applyAlignment="1">
      <alignment horizontal="left" vertical="top" wrapText="1"/>
    </xf>
    <xf numFmtId="0" fontId="53" fillId="0" borderId="6" xfId="0" applyFont="1" applyBorder="1" applyAlignment="1">
      <alignment vertical="center"/>
    </xf>
    <xf numFmtId="0" fontId="53" fillId="0" borderId="36" xfId="0" applyFont="1" applyBorder="1" applyAlignment="1">
      <alignment vertical="center"/>
    </xf>
    <xf numFmtId="0" fontId="53" fillId="0" borderId="7" xfId="0" applyFont="1" applyBorder="1" applyAlignment="1">
      <alignment vertical="center"/>
    </xf>
    <xf numFmtId="0" fontId="53" fillId="0" borderId="12" xfId="0" applyFont="1" applyBorder="1" applyAlignment="1">
      <alignment vertical="center"/>
    </xf>
    <xf numFmtId="0" fontId="53" fillId="0" borderId="0" xfId="0" applyFont="1" applyAlignment="1">
      <alignment vertical="center"/>
    </xf>
    <xf numFmtId="0" fontId="53" fillId="0" borderId="3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22" xfId="0" applyFont="1" applyBorder="1" applyAlignment="1">
      <alignment vertical="center"/>
    </xf>
    <xf numFmtId="0" fontId="53" fillId="0" borderId="9" xfId="0" applyFont="1" applyBorder="1" applyAlignment="1">
      <alignment vertical="center"/>
    </xf>
    <xf numFmtId="0" fontId="42" fillId="11" borderId="0" xfId="0" applyFont="1" applyFill="1" applyAlignment="1">
      <alignment wrapText="1"/>
    </xf>
    <xf numFmtId="0" fontId="0" fillId="0" borderId="0" xfId="0"/>
    <xf numFmtId="0" fontId="23" fillId="6" borderId="12" xfId="0" applyFont="1" applyFill="1" applyBorder="1" applyAlignment="1">
      <alignment horizontal="left" vertical="center"/>
    </xf>
    <xf numFmtId="0" fontId="23" fillId="6" borderId="0" xfId="0" applyFont="1" applyFill="1" applyAlignment="1">
      <alignment horizontal="left" vertical="center"/>
    </xf>
    <xf numFmtId="0" fontId="26" fillId="0" borderId="0" xfId="0" applyFont="1"/>
    <xf numFmtId="0" fontId="24" fillId="0" borderId="0" xfId="0" applyFont="1"/>
    <xf numFmtId="0" fontId="23" fillId="0" borderId="0" xfId="0" quotePrefix="1" applyFont="1" applyAlignment="1">
      <alignment wrapText="1"/>
    </xf>
    <xf numFmtId="0" fontId="26" fillId="0" borderId="10" xfId="0" applyFont="1" applyBorder="1" applyAlignment="1">
      <alignment horizontal="left" vertical="center"/>
    </xf>
    <xf numFmtId="0" fontId="26" fillId="0" borderId="11" xfId="0" applyFont="1" applyBorder="1" applyAlignment="1">
      <alignment horizontal="left" vertical="center"/>
    </xf>
    <xf numFmtId="0" fontId="26" fillId="11" borderId="1" xfId="0" applyFont="1" applyFill="1" applyBorder="1" applyAlignment="1">
      <alignment horizontal="center"/>
    </xf>
    <xf numFmtId="0" fontId="26" fillId="11" borderId="19" xfId="0" applyFont="1" applyFill="1" applyBorder="1" applyAlignment="1">
      <alignment horizontal="center"/>
    </xf>
    <xf numFmtId="0" fontId="25" fillId="11" borderId="10" xfId="0" applyFont="1" applyFill="1" applyBorder="1" applyAlignment="1">
      <alignment horizontal="center" vertical="center"/>
    </xf>
    <xf numFmtId="0" fontId="25" fillId="11" borderId="11" xfId="0" applyFont="1" applyFill="1" applyBorder="1" applyAlignment="1">
      <alignment horizontal="center" vertical="center"/>
    </xf>
    <xf numFmtId="0" fontId="26" fillId="13" borderId="10" xfId="0" applyFont="1" applyFill="1" applyBorder="1" applyAlignment="1">
      <alignment horizontal="left" vertical="center"/>
    </xf>
    <xf numFmtId="0" fontId="26" fillId="13" borderId="11" xfId="0" applyFont="1" applyFill="1" applyBorder="1" applyAlignment="1">
      <alignment horizontal="left" vertical="center"/>
    </xf>
    <xf numFmtId="0" fontId="23" fillId="11" borderId="8" xfId="0" applyFont="1" applyFill="1" applyBorder="1" applyAlignment="1">
      <alignment horizontal="center"/>
    </xf>
    <xf numFmtId="0" fontId="23" fillId="11" borderId="22" xfId="0" applyFont="1" applyFill="1" applyBorder="1" applyAlignment="1">
      <alignment horizontal="center"/>
    </xf>
    <xf numFmtId="0" fontId="39" fillId="11" borderId="12" xfId="0" applyFont="1" applyFill="1" applyBorder="1" applyAlignment="1">
      <alignment horizontal="center"/>
    </xf>
    <xf numFmtId="0" fontId="39" fillId="11" borderId="0" xfId="0" applyFont="1" applyFill="1" applyAlignment="1">
      <alignment horizontal="center"/>
    </xf>
    <xf numFmtId="0" fontId="26" fillId="0" borderId="0" xfId="0" applyFont="1" applyAlignment="1">
      <alignment horizontal="center"/>
    </xf>
    <xf numFmtId="0" fontId="26" fillId="13" borderId="3" xfId="0" applyFont="1" applyFill="1" applyBorder="1" applyAlignment="1">
      <alignment horizontal="left" vertical="center"/>
    </xf>
    <xf numFmtId="0" fontId="23" fillId="13" borderId="10" xfId="0" applyFont="1" applyFill="1" applyBorder="1" applyAlignment="1">
      <alignment horizontal="left" vertical="center"/>
    </xf>
    <xf numFmtId="0" fontId="23" fillId="13" borderId="11" xfId="0" applyFont="1" applyFill="1" applyBorder="1" applyAlignment="1">
      <alignment horizontal="left" vertical="center"/>
    </xf>
    <xf numFmtId="0" fontId="26" fillId="0" borderId="6" xfId="0" applyFont="1" applyBorder="1" applyAlignment="1">
      <alignment horizontal="left" vertical="center"/>
    </xf>
    <xf numFmtId="0" fontId="26" fillId="0" borderId="7" xfId="0" applyFont="1" applyBorder="1" applyAlignment="1">
      <alignment horizontal="left" vertical="center"/>
    </xf>
    <xf numFmtId="0" fontId="26" fillId="0" borderId="8" xfId="0" applyFont="1" applyBorder="1" applyAlignment="1">
      <alignment horizontal="left" vertical="center"/>
    </xf>
    <xf numFmtId="0" fontId="26" fillId="0" borderId="9" xfId="0" applyFont="1" applyBorder="1" applyAlignment="1">
      <alignment horizontal="left" vertical="center"/>
    </xf>
    <xf numFmtId="0" fontId="23" fillId="5" borderId="3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42" fillId="11" borderId="22" xfId="0" applyFont="1" applyFill="1" applyBorder="1" applyAlignment="1">
      <alignment wrapText="1"/>
    </xf>
    <xf numFmtId="0" fontId="0" fillId="0" borderId="22" xfId="0" applyBorder="1"/>
    <xf numFmtId="0" fontId="23" fillId="6" borderId="10" xfId="0" applyFont="1" applyFill="1" applyBorder="1" applyAlignment="1">
      <alignment horizontal="left" vertical="center"/>
    </xf>
    <xf numFmtId="0" fontId="23" fillId="6" borderId="11" xfId="0" applyFont="1" applyFill="1" applyBorder="1" applyAlignment="1">
      <alignment horizontal="left" vertical="center"/>
    </xf>
    <xf numFmtId="0" fontId="23" fillId="6" borderId="3" xfId="0" applyFont="1" applyFill="1" applyBorder="1" applyAlignment="1">
      <alignment horizontal="left" vertical="center"/>
    </xf>
    <xf numFmtId="0" fontId="23" fillId="6" borderId="3" xfId="0" applyFont="1" applyFill="1" applyBorder="1" applyAlignment="1">
      <alignment horizontal="center" vertical="center" wrapText="1"/>
    </xf>
    <xf numFmtId="0" fontId="24" fillId="6" borderId="3" xfId="0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right" wrapText="1"/>
    </xf>
    <xf numFmtId="0" fontId="0" fillId="0" borderId="15" xfId="0" applyBorder="1" applyAlignment="1">
      <alignment horizontal="right" wrapText="1"/>
    </xf>
    <xf numFmtId="0" fontId="26" fillId="0" borderId="13" xfId="0" applyFont="1" applyBorder="1" applyAlignment="1">
      <alignment horizontal="right"/>
    </xf>
    <xf numFmtId="0" fontId="0" fillId="0" borderId="15" xfId="0" applyBorder="1" applyAlignment="1">
      <alignment horizontal="right"/>
    </xf>
    <xf numFmtId="0" fontId="23" fillId="6" borderId="33" xfId="0" applyFont="1" applyFill="1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32" fillId="0" borderId="13" xfId="0" applyFont="1" applyBorder="1" applyAlignment="1">
      <alignment horizontal="justify" wrapText="1"/>
    </xf>
    <xf numFmtId="0" fontId="26" fillId="0" borderId="15" xfId="0" applyFont="1" applyBorder="1" applyAlignment="1">
      <alignment horizontal="justify" wrapText="1"/>
    </xf>
    <xf numFmtId="0" fontId="26" fillId="0" borderId="14" xfId="0" applyFont="1" applyBorder="1" applyAlignment="1">
      <alignment horizontal="justify" wrapText="1"/>
    </xf>
    <xf numFmtId="0" fontId="27" fillId="0" borderId="13" xfId="0" applyFont="1" applyBorder="1" applyAlignment="1">
      <alignment vertical="center" wrapText="1"/>
    </xf>
    <xf numFmtId="0" fontId="27" fillId="0" borderId="14" xfId="0" applyFont="1" applyBorder="1" applyAlignment="1">
      <alignment vertical="center" wrapText="1"/>
    </xf>
    <xf numFmtId="0" fontId="30" fillId="0" borderId="0" xfId="0" applyFont="1" applyAlignment="1">
      <alignment vertical="top" wrapText="1"/>
    </xf>
    <xf numFmtId="0" fontId="50" fillId="0" borderId="0" xfId="0" applyFont="1" applyAlignment="1">
      <alignment vertical="top" wrapText="1"/>
    </xf>
    <xf numFmtId="0" fontId="50" fillId="0" borderId="0" xfId="0" applyFont="1" applyAlignment="1">
      <alignment vertical="top"/>
    </xf>
    <xf numFmtId="0" fontId="0" fillId="0" borderId="0" xfId="0" applyAlignment="1">
      <alignment vertical="top"/>
    </xf>
    <xf numFmtId="0" fontId="44" fillId="11" borderId="22" xfId="0" applyFont="1" applyFill="1" applyBorder="1" applyAlignment="1">
      <alignment wrapText="1"/>
    </xf>
    <xf numFmtId="0" fontId="44" fillId="0" borderId="22" xfId="0" applyFont="1" applyBorder="1"/>
    <xf numFmtId="0" fontId="46" fillId="6" borderId="12" xfId="0" applyFont="1" applyFill="1" applyBorder="1" applyAlignment="1">
      <alignment horizontal="left" vertical="center"/>
    </xf>
    <xf numFmtId="0" fontId="46" fillId="6" borderId="0" xfId="0" applyFont="1" applyFill="1" applyAlignment="1">
      <alignment horizontal="left" vertical="center"/>
    </xf>
    <xf numFmtId="0" fontId="21" fillId="6" borderId="12" xfId="0" applyFont="1" applyFill="1" applyBorder="1" applyAlignment="1">
      <alignment horizontal="left" vertical="center"/>
    </xf>
    <xf numFmtId="0" fontId="27" fillId="7" borderId="0" xfId="0" applyFont="1" applyFill="1"/>
    <xf numFmtId="0" fontId="26" fillId="7" borderId="0" xfId="0" applyFont="1" applyFill="1"/>
    <xf numFmtId="0" fontId="6" fillId="0" borderId="3" xfId="3" applyFont="1" applyBorder="1" applyAlignment="1">
      <alignment horizontal="center" vertical="center"/>
    </xf>
    <xf numFmtId="168" fontId="36" fillId="2" borderId="1" xfId="2" applyNumberFormat="1" applyFont="1" applyFill="1" applyBorder="1" applyAlignment="1" applyProtection="1">
      <alignment horizontal="center" vertical="center"/>
    </xf>
    <xf numFmtId="168" fontId="36" fillId="2" borderId="19" xfId="2" applyNumberFormat="1" applyFont="1" applyFill="1" applyBorder="1" applyAlignment="1" applyProtection="1">
      <alignment horizontal="center" vertical="center"/>
    </xf>
    <xf numFmtId="168" fontId="36" fillId="2" borderId="2" xfId="2" applyNumberFormat="1" applyFont="1" applyFill="1" applyBorder="1" applyAlignment="1" applyProtection="1">
      <alignment horizontal="center" vertical="center"/>
    </xf>
    <xf numFmtId="0" fontId="37" fillId="0" borderId="0" xfId="3" applyFont="1" applyAlignment="1" applyProtection="1">
      <alignment horizontal="center"/>
      <protection locked="0"/>
    </xf>
    <xf numFmtId="0" fontId="6" fillId="0" borderId="3" xfId="3" applyFont="1" applyBorder="1" applyAlignment="1" applyProtection="1">
      <alignment horizontal="center" vertical="center"/>
      <protection locked="0"/>
    </xf>
    <xf numFmtId="0" fontId="6" fillId="0" borderId="1" xfId="3" applyFont="1" applyBorder="1" applyAlignment="1" applyProtection="1">
      <alignment horizontal="center" vertical="center"/>
      <protection locked="0"/>
    </xf>
    <xf numFmtId="0" fontId="6" fillId="0" borderId="19" xfId="3" applyFont="1" applyBorder="1" applyAlignment="1" applyProtection="1">
      <alignment horizontal="center" vertical="center"/>
      <protection locked="0"/>
    </xf>
    <xf numFmtId="0" fontId="6" fillId="0" borderId="2" xfId="3" applyFont="1" applyBorder="1" applyAlignment="1" applyProtection="1">
      <alignment horizontal="center" vertical="center"/>
      <protection locked="0"/>
    </xf>
    <xf numFmtId="0" fontId="36" fillId="0" borderId="1" xfId="3" applyFont="1" applyBorder="1" applyAlignment="1" applyProtection="1">
      <alignment horizontal="center" vertical="center" wrapText="1"/>
      <protection locked="0"/>
    </xf>
    <xf numFmtId="0" fontId="36" fillId="0" borderId="19" xfId="3" applyFont="1" applyBorder="1" applyAlignment="1" applyProtection="1">
      <alignment horizontal="center" vertical="center" wrapText="1"/>
      <protection locked="0"/>
    </xf>
    <xf numFmtId="0" fontId="36" fillId="0" borderId="2" xfId="3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 vertical="center"/>
    </xf>
    <xf numFmtId="0" fontId="26" fillId="0" borderId="0" xfId="0" applyFont="1" applyAlignment="1">
      <alignment vertical="top" wrapText="1"/>
    </xf>
    <xf numFmtId="0" fontId="26" fillId="0" borderId="0" xfId="0" applyFont="1" applyAlignment="1">
      <alignment vertical="center" wrapText="1"/>
    </xf>
    <xf numFmtId="0" fontId="24" fillId="8" borderId="0" xfId="0" applyFont="1" applyFill="1" applyAlignment="1">
      <alignment wrapText="1"/>
    </xf>
    <xf numFmtId="0" fontId="0" fillId="0" borderId="0" xfId="0" applyAlignment="1">
      <alignment wrapText="1"/>
    </xf>
    <xf numFmtId="0" fontId="25" fillId="0" borderId="0" xfId="0" applyFont="1" applyAlignment="1">
      <alignment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/>
    </xf>
    <xf numFmtId="0" fontId="26" fillId="5" borderId="0" xfId="0" applyFont="1" applyFill="1"/>
  </cellXfs>
  <cellStyles count="7">
    <cellStyle name="Currency" xfId="6" builtinId="4"/>
    <cellStyle name="Dziesiętny 2" xfId="2" xr:uid="{00000000-0005-0000-0000-000001000000}"/>
    <cellStyle name="Good" xfId="1" builtinId="26"/>
    <cellStyle name="Normal" xfId="0" builtinId="0"/>
    <cellStyle name="Normalny 2" xfId="3" xr:uid="{00000000-0005-0000-0000-000003000000}"/>
    <cellStyle name="Normalny 3" xfId="4" xr:uid="{00000000-0005-0000-0000-000004000000}"/>
    <cellStyle name="Percent" xfId="5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10/relationships/person" Target="persons/perso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Zysk netto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'2.Rachunek zysków i start'!$C$4:$H$4</c:f>
              <c:strCache>
                <c:ptCount val="6"/>
                <c:pt idx="0">
                  <c:v>31.12.2024</c:v>
                </c:pt>
                <c:pt idx="1">
                  <c:v>31.12.2025</c:v>
                </c:pt>
                <c:pt idx="2">
                  <c:v>31.12.2026</c:v>
                </c:pt>
                <c:pt idx="3">
                  <c:v>31.12.2027</c:v>
                </c:pt>
                <c:pt idx="4">
                  <c:v>31.12.2028</c:v>
                </c:pt>
                <c:pt idx="5">
                  <c:v>31.12.2029</c:v>
                </c:pt>
              </c:strCache>
            </c:strRef>
          </c:cat>
          <c:val>
            <c:numRef>
              <c:f>'2.Rachunek zysków i start'!$C$22:$H$22</c:f>
              <c:numCache>
                <c:formatCode>#,##0.00</c:formatCode>
                <c:ptCount val="6"/>
                <c:pt idx="0">
                  <c:v>101005.9114640172</c:v>
                </c:pt>
                <c:pt idx="1">
                  <c:v>71079.181016017217</c:v>
                </c:pt>
                <c:pt idx="2">
                  <c:v>74066.34273009724</c:v>
                </c:pt>
                <c:pt idx="3">
                  <c:v>80701.866963740409</c:v>
                </c:pt>
                <c:pt idx="4">
                  <c:v>85041.857047259327</c:v>
                </c:pt>
                <c:pt idx="5">
                  <c:v>105280.36198906484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3C-4241-8BBF-2F2C8F724E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6174688"/>
        <c:axId val="1"/>
      </c:barChart>
      <c:catAx>
        <c:axId val="266174688"/>
        <c:scaling>
          <c:orientation val="minMax"/>
        </c:scaling>
        <c:delete val="0"/>
        <c:axPos val="b"/>
        <c:numFmt formatCode="m/d/yy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>
              <a:softEdge rad="25400"/>
            </a:effectLst>
          </c:spPr>
        </c:majorGridlines>
        <c:numFmt formatCode="#,##0.0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174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l-PL"/>
              <a:t>Zadania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 w="9525">
          <a:noFill/>
        </a:ln>
      </c:spPr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bar"/>
        <c:grouping val="stacked"/>
        <c:varyColors val="0"/>
        <c:ser>
          <c:idx val="0"/>
          <c:order val="0"/>
          <c:tx>
            <c:strRef>
              <c:f>'11.Wykres Gantta'!$C$3</c:f>
              <c:strCache>
                <c:ptCount val="1"/>
                <c:pt idx="0">
                  <c:v>Data poczatkowa</c:v>
                </c:pt>
              </c:strCache>
            </c:strRef>
          </c:tx>
          <c:spPr>
            <a:noFill/>
            <a:ln w="25400">
              <a:noFill/>
            </a:ln>
          </c:spPr>
          <c:invertIfNegative val="0"/>
          <c:cat>
            <c:strRef>
              <c:f>'11.Wykres Gantta'!$B$4:$B$13</c:f>
              <c:strCache>
                <c:ptCount val="10"/>
                <c:pt idx="0">
                  <c:v>Znalezienie lokalu</c:v>
                </c:pt>
                <c:pt idx="1">
                  <c:v>Zakup maszyn i urządzeń</c:v>
                </c:pt>
                <c:pt idx="2">
                  <c:v>Zakup mebli</c:v>
                </c:pt>
                <c:pt idx="3">
                  <c:v>Zakup materiałów i rzeczy pasmanteryjnych</c:v>
                </c:pt>
                <c:pt idx="4">
                  <c:v>Wykonanie strony internetowej</c:v>
                </c:pt>
                <c:pt idx="5">
                  <c:v>Wykonanie reklamy</c:v>
                </c:pt>
                <c:pt idx="6">
                  <c:v>Znalezienie firmy wysyłkowej </c:v>
                </c:pt>
                <c:pt idx="7">
                  <c:v>Wykonanie projektów odzieżowych </c:v>
                </c:pt>
                <c:pt idx="8">
                  <c:v>Wykonanie dobrej konstrukcji odzieży </c:v>
                </c:pt>
                <c:pt idx="9">
                  <c:v>Wykonanie prototypu</c:v>
                </c:pt>
              </c:strCache>
            </c:strRef>
          </c:cat>
          <c:val>
            <c:numRef>
              <c:f>'11.Wykres Gantta'!$C$4:$C$13</c:f>
              <c:numCache>
                <c:formatCode>m/d/yyyy</c:formatCode>
                <c:ptCount val="10"/>
                <c:pt idx="0">
                  <c:v>45483</c:v>
                </c:pt>
                <c:pt idx="1">
                  <c:v>45498</c:v>
                </c:pt>
                <c:pt idx="2">
                  <c:v>45500</c:v>
                </c:pt>
                <c:pt idx="3">
                  <c:v>45504</c:v>
                </c:pt>
                <c:pt idx="4">
                  <c:v>45505</c:v>
                </c:pt>
                <c:pt idx="5">
                  <c:v>45511</c:v>
                </c:pt>
                <c:pt idx="6">
                  <c:v>45514</c:v>
                </c:pt>
                <c:pt idx="7">
                  <c:v>45518</c:v>
                </c:pt>
                <c:pt idx="8">
                  <c:v>45522</c:v>
                </c:pt>
                <c:pt idx="9">
                  <c:v>45526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16-43D6-8728-921C4135F582}"/>
            </c:ext>
          </c:extLst>
        </c:ser>
        <c:ser>
          <c:idx val="1"/>
          <c:order val="1"/>
          <c:tx>
            <c:strRef>
              <c:f>'11.Wykres Gantta'!$D$3</c:f>
              <c:strCache>
                <c:ptCount val="1"/>
                <c:pt idx="0">
                  <c:v>Dni do wykonania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'11.Wykres Gantta'!$B$4:$B$13</c:f>
              <c:strCache>
                <c:ptCount val="10"/>
                <c:pt idx="0">
                  <c:v>Znalezienie lokalu</c:v>
                </c:pt>
                <c:pt idx="1">
                  <c:v>Zakup maszyn i urządzeń</c:v>
                </c:pt>
                <c:pt idx="2">
                  <c:v>Zakup mebli</c:v>
                </c:pt>
                <c:pt idx="3">
                  <c:v>Zakup materiałów i rzeczy pasmanteryjnych</c:v>
                </c:pt>
                <c:pt idx="4">
                  <c:v>Wykonanie strony internetowej</c:v>
                </c:pt>
                <c:pt idx="5">
                  <c:v>Wykonanie reklamy</c:v>
                </c:pt>
                <c:pt idx="6">
                  <c:v>Znalezienie firmy wysyłkowej </c:v>
                </c:pt>
                <c:pt idx="7">
                  <c:v>Wykonanie projektów odzieżowych </c:v>
                </c:pt>
                <c:pt idx="8">
                  <c:v>Wykonanie dobrej konstrukcji odzieży </c:v>
                </c:pt>
                <c:pt idx="9">
                  <c:v>Wykonanie prototypu</c:v>
                </c:pt>
              </c:strCache>
            </c:strRef>
          </c:cat>
          <c:val>
            <c:numRef>
              <c:f>'11.Wykres Gantta'!$D$4:$D$13</c:f>
              <c:numCache>
                <c:formatCode>General</c:formatCode>
                <c:ptCount val="10"/>
                <c:pt idx="0">
                  <c:v>14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16-43D6-8728-921C4135F5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66175104"/>
        <c:axId val="1"/>
        <c:axId val="0"/>
      </c:bar3DChart>
      <c:catAx>
        <c:axId val="26617510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6175104"/>
        <c:crosses val="max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251460</xdr:colOff>
      <xdr:row>2</xdr:row>
      <xdr:rowOff>68580</xdr:rowOff>
    </xdr:from>
    <xdr:to>
      <xdr:col>13</xdr:col>
      <xdr:colOff>129540</xdr:colOff>
      <xdr:row>20</xdr:row>
      <xdr:rowOff>152400</xdr:rowOff>
    </xdr:to>
    <xdr:graphicFrame macro="">
      <xdr:nvGraphicFramePr>
        <xdr:cNvPr id="196722" name="Wykres 1">
          <a:extLst>
            <a:ext uri="{FF2B5EF4-FFF2-40B4-BE49-F238E27FC236}">
              <a16:creationId xmlns:a16="http://schemas.microsoft.com/office/drawing/2014/main" id="{E7FD9D79-445A-46C7-AE48-31758D7534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</xdr:colOff>
      <xdr:row>3</xdr:row>
      <xdr:rowOff>35858</xdr:rowOff>
    </xdr:from>
    <xdr:to>
      <xdr:col>20</xdr:col>
      <xdr:colOff>198121</xdr:colOff>
      <xdr:row>28</xdr:row>
      <xdr:rowOff>197671</xdr:rowOff>
    </xdr:to>
    <xdr:graphicFrame macro="">
      <xdr:nvGraphicFramePr>
        <xdr:cNvPr id="28944" name="Wykres 4">
          <a:extLst>
            <a:ext uri="{FF2B5EF4-FFF2-40B4-BE49-F238E27FC236}">
              <a16:creationId xmlns:a16="http://schemas.microsoft.com/office/drawing/2014/main" id="{D7F164EB-6A5F-4C0C-A819-60A4E60C2E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4.xml"/><Relationship Id="rId1" Type="http://schemas.openxmlformats.org/officeDocument/2006/relationships/vmlDrawing" Target="../drawings/vmlDrawing14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tabColor theme="9"/>
  </sheetPr>
  <dimension ref="A1:K82"/>
  <sheetViews>
    <sheetView workbookViewId="0">
      <selection activeCell="J18" sqref="J18"/>
    </sheetView>
  </sheetViews>
  <sheetFormatPr defaultColWidth="11" defaultRowHeight="13.2"/>
  <cols>
    <col min="1" max="1" width="11" style="2" customWidth="1"/>
    <col min="2" max="2" width="52.59765625" style="2" customWidth="1"/>
    <col min="3" max="8" width="10.59765625" style="2" bestFit="1" customWidth="1"/>
    <col min="9" max="16384" width="11" style="2"/>
  </cols>
  <sheetData>
    <row r="1" spans="1:8" ht="48.75" customHeight="1">
      <c r="A1" s="236" t="s">
        <v>125</v>
      </c>
      <c r="B1" s="237"/>
      <c r="C1" s="237"/>
      <c r="D1" s="1"/>
      <c r="E1" s="1"/>
      <c r="F1" s="1"/>
    </row>
    <row r="2" spans="1:8">
      <c r="A2" s="238" t="s">
        <v>67</v>
      </c>
      <c r="B2" s="239"/>
      <c r="C2" s="3" t="s">
        <v>68</v>
      </c>
      <c r="D2" s="3"/>
      <c r="E2" s="3"/>
      <c r="F2" s="3"/>
      <c r="G2" s="3" t="s">
        <v>68</v>
      </c>
      <c r="H2" s="3" t="s">
        <v>68</v>
      </c>
    </row>
    <row r="3" spans="1:8">
      <c r="A3" s="240"/>
      <c r="B3" s="241"/>
      <c r="C3" s="6" t="e">
        <f>#REF!</f>
        <v>#REF!</v>
      </c>
      <c r="D3" s="6" t="e">
        <f>#REF!</f>
        <v>#REF!</v>
      </c>
      <c r="E3" s="6" t="e">
        <f>#REF!</f>
        <v>#REF!</v>
      </c>
      <c r="F3" s="6" t="e">
        <f>#REF!</f>
        <v>#REF!</v>
      </c>
      <c r="G3" s="6" t="e">
        <f>#REF!</f>
        <v>#REF!</v>
      </c>
      <c r="H3" s="6" t="e">
        <f>#REF!</f>
        <v>#REF!</v>
      </c>
    </row>
    <row r="4" spans="1:8">
      <c r="A4" s="242" t="s">
        <v>69</v>
      </c>
      <c r="B4" s="243"/>
      <c r="C4" s="4"/>
      <c r="D4" s="4"/>
      <c r="E4" s="4"/>
      <c r="F4" s="4"/>
      <c r="G4" s="4"/>
      <c r="H4" s="4"/>
    </row>
    <row r="5" spans="1:8">
      <c r="A5" s="244" t="s">
        <v>70</v>
      </c>
      <c r="B5" s="245"/>
      <c r="C5" s="7">
        <f>'2.Rachunek zysków i start'!C22</f>
        <v>101005.9114640172</v>
      </c>
      <c r="D5" s="7">
        <f>'2.Rachunek zysków i start'!D22</f>
        <v>71079.181016017217</v>
      </c>
      <c r="E5" s="7">
        <f>'2.Rachunek zysków i start'!E22</f>
        <v>74066.34273009724</v>
      </c>
      <c r="F5" s="7">
        <f>'2.Rachunek zysków i start'!F22</f>
        <v>80701.866963740409</v>
      </c>
      <c r="G5" s="7">
        <f>'2.Rachunek zysków i start'!G22</f>
        <v>85041.857047259327</v>
      </c>
      <c r="H5" s="7">
        <f>'2.Rachunek zysków i start'!H22</f>
        <v>105280.36198906484</v>
      </c>
    </row>
    <row r="6" spans="1:8">
      <c r="A6" s="244" t="s">
        <v>71</v>
      </c>
      <c r="B6" s="245"/>
      <c r="C6" s="8">
        <f t="array" ref="C6">IF(AND(C7:C16=""),"",SUM(C7:C16))</f>
        <v>38289.253866666659</v>
      </c>
      <c r="D6" s="8">
        <f t="array" ref="D6">IF(AND(D7:D16=""),"",SUM(D7:D16))</f>
        <v>-67677.015466666635</v>
      </c>
      <c r="E6" s="8">
        <f t="array" ref="E6">IF(AND(E7:E16=""),"",SUM(E7:E16))</f>
        <v>-41507.761599999976</v>
      </c>
      <c r="F6" s="8">
        <f t="array" ref="F6">IF(AND(F7:F16=""),"",SUM(F7:F16))</f>
        <v>-19678.507733333325</v>
      </c>
      <c r="G6" s="8">
        <f t="array" ref="G6">IF(AND(G7:G16=""),"",SUM(G7:G16))</f>
        <v>5150.746133333334</v>
      </c>
      <c r="H6" s="8">
        <f t="array" ref="H6">IF(AND(H7:H16=""),"",SUM(H7:H16))</f>
        <v>-11309.253866666659</v>
      </c>
    </row>
    <row r="7" spans="1:8">
      <c r="A7" s="246" t="s">
        <v>72</v>
      </c>
      <c r="B7" s="246"/>
      <c r="C7" s="9">
        <f>'2.Rachunek zysków i start'!C12</f>
        <v>16460</v>
      </c>
      <c r="D7" s="9">
        <f>'2.Rachunek zysków i start'!D12</f>
        <v>19640</v>
      </c>
      <c r="E7" s="9">
        <f>'2.Rachunek zysków i start'!E12</f>
        <v>23980</v>
      </c>
      <c r="F7" s="9">
        <f>'2.Rachunek zysków i start'!F12</f>
        <v>23980</v>
      </c>
      <c r="G7" s="9">
        <f>'2.Rachunek zysków i start'!G12</f>
        <v>26980</v>
      </c>
      <c r="H7" s="9">
        <f>'2.Rachunek zysków i start'!H12</f>
        <v>10520</v>
      </c>
    </row>
    <row r="8" spans="1:8">
      <c r="A8" s="246" t="s">
        <v>73</v>
      </c>
      <c r="B8" s="246"/>
      <c r="C8" s="9"/>
      <c r="D8" s="9"/>
      <c r="E8" s="9"/>
      <c r="F8" s="9"/>
      <c r="G8" s="9"/>
      <c r="H8" s="9"/>
    </row>
    <row r="9" spans="1:8">
      <c r="A9" s="246" t="s">
        <v>74</v>
      </c>
      <c r="B9" s="246"/>
      <c r="C9" s="9"/>
      <c r="D9" s="9"/>
      <c r="E9" s="9"/>
      <c r="F9" s="9"/>
      <c r="G9" s="9"/>
      <c r="H9" s="9"/>
    </row>
    <row r="10" spans="1:8">
      <c r="A10" s="247" t="s">
        <v>75</v>
      </c>
      <c r="B10" s="248"/>
      <c r="C10" s="9"/>
      <c r="D10" s="9"/>
      <c r="E10" s="9"/>
      <c r="F10" s="9"/>
      <c r="G10" s="9"/>
      <c r="H10" s="9"/>
    </row>
    <row r="11" spans="1:8">
      <c r="A11" s="246" t="s">
        <v>76</v>
      </c>
      <c r="B11" s="246"/>
      <c r="C11" s="9"/>
      <c r="D11" s="9"/>
      <c r="E11" s="9"/>
      <c r="F11" s="9"/>
      <c r="G11" s="9"/>
      <c r="H11" s="9"/>
    </row>
    <row r="12" spans="1:8">
      <c r="A12" s="246" t="s">
        <v>77</v>
      </c>
      <c r="B12" s="246"/>
      <c r="C12" s="9"/>
      <c r="D12" s="9"/>
      <c r="E12" s="9"/>
      <c r="F12" s="9"/>
      <c r="G12" s="9"/>
      <c r="H12" s="9"/>
    </row>
    <row r="13" spans="1:8">
      <c r="A13" s="246" t="s">
        <v>78</v>
      </c>
      <c r="B13" s="246"/>
      <c r="C13" s="9">
        <f>-'10.Bilans'!C17</f>
        <v>0</v>
      </c>
      <c r="D13" s="9">
        <f>'10.Bilans'!D17-'10.Bilans'!D17-'10.Bilans'!C17</f>
        <v>0</v>
      </c>
      <c r="E13" s="9">
        <f>'10.Bilans'!E17-'10.Bilans'!E17-'10.Bilans'!D17</f>
        <v>0</v>
      </c>
      <c r="F13" s="9">
        <f>'10.Bilans'!F17-'10.Bilans'!F17-'10.Bilans'!E17</f>
        <v>0</v>
      </c>
      <c r="G13" s="9">
        <f>'10.Bilans'!G17-'10.Bilans'!G17-'10.Bilans'!F17</f>
        <v>0</v>
      </c>
      <c r="H13" s="9">
        <f>'10.Bilans'!H17-'10.Bilans'!H17-'10.Bilans'!G17</f>
        <v>0</v>
      </c>
    </row>
    <row r="14" spans="1:8">
      <c r="A14" s="249" t="s">
        <v>79</v>
      </c>
      <c r="B14" s="249"/>
      <c r="C14" s="10">
        <f>'10.Bilans'!C36</f>
        <v>21829.253866666659</v>
      </c>
      <c r="D14" s="10">
        <f>'10.Bilans'!D36-'10.Bilans'!C34</f>
        <v>-87317.015466666635</v>
      </c>
      <c r="E14" s="10">
        <f>'10.Bilans'!E36-'10.Bilans'!D34</f>
        <v>-65487.761599999976</v>
      </c>
      <c r="F14" s="10">
        <f>'10.Bilans'!F36-'10.Bilans'!E34</f>
        <v>-43658.507733333325</v>
      </c>
      <c r="G14" s="10">
        <f>'10.Bilans'!G36-'10.Bilans'!F34</f>
        <v>-21829.253866666666</v>
      </c>
      <c r="H14" s="10">
        <f>'10.Bilans'!H36-'10.Bilans'!G34</f>
        <v>-21829.253866666659</v>
      </c>
    </row>
    <row r="15" spans="1:8">
      <c r="A15" s="246" t="s">
        <v>80</v>
      </c>
      <c r="B15" s="246"/>
      <c r="C15" s="9"/>
      <c r="D15" s="9"/>
      <c r="E15" s="9"/>
      <c r="F15" s="9"/>
      <c r="G15" s="9"/>
      <c r="H15" s="9"/>
    </row>
    <row r="16" spans="1:8">
      <c r="A16" s="246" t="s">
        <v>81</v>
      </c>
      <c r="B16" s="246"/>
      <c r="C16" s="9"/>
      <c r="D16" s="9"/>
      <c r="E16" s="9"/>
      <c r="F16" s="9"/>
      <c r="G16" s="9"/>
      <c r="H16" s="9"/>
    </row>
    <row r="17" spans="1:11">
      <c r="A17" s="244" t="s">
        <v>82</v>
      </c>
      <c r="B17" s="245"/>
      <c r="C17" s="8">
        <f t="shared" ref="C17:H17" si="0">C5+C6</f>
        <v>139295.16533068387</v>
      </c>
      <c r="D17" s="8">
        <f t="shared" si="0"/>
        <v>3402.1655493505823</v>
      </c>
      <c r="E17" s="8">
        <f t="shared" si="0"/>
        <v>32558.581130097264</v>
      </c>
      <c r="F17" s="8">
        <f t="shared" si="0"/>
        <v>61023.359230407084</v>
      </c>
      <c r="G17" s="8">
        <f t="shared" si="0"/>
        <v>90192.603180592661</v>
      </c>
      <c r="H17" s="8">
        <f t="shared" si="0"/>
        <v>93971.108122398175</v>
      </c>
      <c r="I17" s="5"/>
      <c r="J17" s="5"/>
      <c r="K17" s="5"/>
    </row>
    <row r="18" spans="1:11">
      <c r="A18" s="250" t="s">
        <v>83</v>
      </c>
      <c r="B18" s="250"/>
      <c r="C18" s="11"/>
      <c r="D18" s="11"/>
      <c r="E18" s="11"/>
      <c r="F18" s="11"/>
      <c r="G18" s="11"/>
      <c r="H18" s="11"/>
    </row>
    <row r="19" spans="1:11">
      <c r="A19" s="244" t="s">
        <v>84</v>
      </c>
      <c r="B19" s="245"/>
      <c r="C19" s="8">
        <f t="shared" ref="C19:H19" si="1">IF(AND(C20="",C21="",C22="",C30=""),"",SUM(C20,C21,C22,C30))</f>
        <v>0</v>
      </c>
      <c r="D19" s="8">
        <f t="shared" si="1"/>
        <v>0</v>
      </c>
      <c r="E19" s="8">
        <f t="shared" si="1"/>
        <v>0</v>
      </c>
      <c r="F19" s="8">
        <f t="shared" si="1"/>
        <v>0</v>
      </c>
      <c r="G19" s="8">
        <f t="shared" si="1"/>
        <v>0</v>
      </c>
      <c r="H19" s="8">
        <f t="shared" si="1"/>
        <v>0</v>
      </c>
    </row>
    <row r="20" spans="1:11">
      <c r="A20" s="251" t="s">
        <v>85</v>
      </c>
      <c r="B20" s="252"/>
      <c r="C20" s="10"/>
      <c r="D20" s="10"/>
      <c r="E20" s="10"/>
      <c r="F20" s="10"/>
      <c r="G20" s="10"/>
      <c r="H20" s="10"/>
    </row>
    <row r="21" spans="1:11">
      <c r="A21" s="249" t="s">
        <v>86</v>
      </c>
      <c r="B21" s="249"/>
      <c r="C21" s="10"/>
      <c r="D21" s="10"/>
      <c r="E21" s="10"/>
      <c r="F21" s="10"/>
      <c r="G21" s="10"/>
      <c r="H21" s="10"/>
    </row>
    <row r="22" spans="1:11">
      <c r="A22" s="247" t="s">
        <v>87</v>
      </c>
      <c r="B22" s="248"/>
      <c r="C22" s="11">
        <f t="shared" ref="C22:H22" si="2">IF(AND(C23="",C24=""),"",SUM(C23,C24))</f>
        <v>0</v>
      </c>
      <c r="D22" s="11">
        <f t="shared" si="2"/>
        <v>0</v>
      </c>
      <c r="E22" s="11">
        <f t="shared" si="2"/>
        <v>0</v>
      </c>
      <c r="F22" s="11">
        <f t="shared" si="2"/>
        <v>0</v>
      </c>
      <c r="G22" s="11">
        <f t="shared" si="2"/>
        <v>0</v>
      </c>
      <c r="H22" s="11">
        <f t="shared" si="2"/>
        <v>0</v>
      </c>
    </row>
    <row r="23" spans="1:11">
      <c r="A23" s="253" t="s">
        <v>88</v>
      </c>
      <c r="B23" s="253"/>
      <c r="C23" s="9"/>
      <c r="D23" s="9"/>
      <c r="E23" s="9"/>
      <c r="F23" s="9"/>
      <c r="G23" s="9"/>
      <c r="H23" s="9"/>
    </row>
    <row r="24" spans="1:11">
      <c r="A24" s="253" t="s">
        <v>89</v>
      </c>
      <c r="B24" s="253"/>
      <c r="C24" s="11">
        <f t="shared" ref="C24:H24" si="3">SUM(C25:C29)</f>
        <v>0</v>
      </c>
      <c r="D24" s="11">
        <f t="shared" si="3"/>
        <v>0</v>
      </c>
      <c r="E24" s="11">
        <f t="shared" si="3"/>
        <v>0</v>
      </c>
      <c r="F24" s="11">
        <f t="shared" si="3"/>
        <v>0</v>
      </c>
      <c r="G24" s="11">
        <f t="shared" si="3"/>
        <v>0</v>
      </c>
      <c r="H24" s="11">
        <f t="shared" si="3"/>
        <v>0</v>
      </c>
    </row>
    <row r="25" spans="1:11">
      <c r="A25" s="254" t="s">
        <v>90</v>
      </c>
      <c r="B25" s="254"/>
      <c r="C25" s="9"/>
      <c r="D25" s="9"/>
      <c r="E25" s="9"/>
      <c r="F25" s="9"/>
      <c r="G25" s="9"/>
      <c r="H25" s="9"/>
    </row>
    <row r="26" spans="1:11">
      <c r="A26" s="254" t="s">
        <v>91</v>
      </c>
      <c r="B26" s="254"/>
      <c r="C26" s="9"/>
      <c r="D26" s="9"/>
      <c r="E26" s="9"/>
      <c r="F26" s="9"/>
      <c r="G26" s="9"/>
      <c r="H26" s="9"/>
    </row>
    <row r="27" spans="1:11">
      <c r="A27" s="254" t="s">
        <v>92</v>
      </c>
      <c r="B27" s="254"/>
      <c r="C27" s="9"/>
      <c r="D27" s="9"/>
      <c r="E27" s="9"/>
      <c r="F27" s="9"/>
      <c r="G27" s="9"/>
      <c r="H27" s="9"/>
    </row>
    <row r="28" spans="1:11">
      <c r="A28" s="254" t="s">
        <v>93</v>
      </c>
      <c r="B28" s="254"/>
      <c r="C28" s="9"/>
      <c r="D28" s="9"/>
      <c r="E28" s="9"/>
      <c r="F28" s="9"/>
      <c r="G28" s="9"/>
      <c r="H28" s="9"/>
    </row>
    <row r="29" spans="1:11">
      <c r="A29" s="254" t="s">
        <v>94</v>
      </c>
      <c r="B29" s="254"/>
      <c r="C29" s="9"/>
      <c r="D29" s="9"/>
      <c r="E29" s="9"/>
      <c r="F29" s="9"/>
      <c r="G29" s="9"/>
      <c r="H29" s="9"/>
    </row>
    <row r="30" spans="1:11">
      <c r="A30" s="247" t="s">
        <v>95</v>
      </c>
      <c r="B30" s="248"/>
      <c r="C30" s="9"/>
      <c r="D30" s="9"/>
      <c r="E30" s="9"/>
      <c r="F30" s="9"/>
      <c r="G30" s="9"/>
      <c r="H30" s="9"/>
    </row>
    <row r="31" spans="1:11">
      <c r="A31" s="244" t="s">
        <v>96</v>
      </c>
      <c r="B31" s="245"/>
      <c r="C31" s="8">
        <f t="shared" ref="C31:H31" si="4">IF(AND(C32="",C33="",C34="",C39=""),"",SUM(C32,C33,C34,C39))</f>
        <v>-82300</v>
      </c>
      <c r="D31" s="8">
        <f t="shared" si="4"/>
        <v>-15900</v>
      </c>
      <c r="E31" s="8">
        <f t="shared" si="4"/>
        <v>-21700</v>
      </c>
      <c r="F31" s="8">
        <f t="shared" si="4"/>
        <v>0</v>
      </c>
      <c r="G31" s="8">
        <f t="shared" si="4"/>
        <v>-15000</v>
      </c>
      <c r="H31" s="8">
        <f t="shared" si="4"/>
        <v>0</v>
      </c>
    </row>
    <row r="32" spans="1:11">
      <c r="A32" s="249" t="s">
        <v>97</v>
      </c>
      <c r="B32" s="249"/>
      <c r="C32" s="10">
        <f>-'3.Środki trwałe'!B23</f>
        <v>-82300</v>
      </c>
      <c r="D32" s="10">
        <f>-('3.Środki trwałe'!C23-'3.Środki trwałe'!B23)</f>
        <v>-15900</v>
      </c>
      <c r="E32" s="10">
        <f>-('3.Środki trwałe'!D23-'3.Środki trwałe'!C23)</f>
        <v>-21700</v>
      </c>
      <c r="F32" s="10">
        <f>-('3.Środki trwałe'!E23-'3.Środki trwałe'!D23)</f>
        <v>0</v>
      </c>
      <c r="G32" s="10">
        <f>-('3.Środki trwałe'!F23-'3.Środki trwałe'!E23)</f>
        <v>-15000</v>
      </c>
      <c r="H32" s="10">
        <f>-('3.Środki trwałe'!G23-'3.Środki trwałe'!F23)</f>
        <v>0</v>
      </c>
    </row>
    <row r="33" spans="1:8">
      <c r="A33" s="247" t="s">
        <v>98</v>
      </c>
      <c r="B33" s="248"/>
      <c r="C33" s="9"/>
      <c r="D33" s="9"/>
      <c r="E33" s="9"/>
      <c r="F33" s="9"/>
      <c r="G33" s="9"/>
      <c r="H33" s="9"/>
    </row>
    <row r="34" spans="1:8">
      <c r="A34" s="247" t="s">
        <v>99</v>
      </c>
      <c r="B34" s="248"/>
      <c r="C34" s="11" t="str">
        <f t="array" ref="C34">IF(AND(C35:C36=""),"",SUM(C35:C36))</f>
        <v/>
      </c>
      <c r="D34" s="11" t="str">
        <f t="array" ref="D34">IF(AND(D35:D36=""),"",SUM(D35:D36))</f>
        <v/>
      </c>
      <c r="E34" s="11" t="str">
        <f t="array" ref="E34">IF(AND(E35:E36=""),"",SUM(E35:E36))</f>
        <v/>
      </c>
      <c r="F34" s="11" t="str">
        <f t="array" ref="F34">IF(AND(F35:F36=""),"",SUM(F35:F36))</f>
        <v/>
      </c>
      <c r="G34" s="11" t="str">
        <f t="array" ref="G34">IF(AND(G35:G36=""),"",SUM(G35:G36))</f>
        <v/>
      </c>
      <c r="H34" s="11" t="str">
        <f t="array" ref="H34">IF(AND(H35:H36=""),"",SUM(H35:H36))</f>
        <v/>
      </c>
    </row>
    <row r="35" spans="1:8">
      <c r="A35" s="255" t="s">
        <v>88</v>
      </c>
      <c r="B35" s="256"/>
      <c r="C35" s="9"/>
      <c r="D35" s="9"/>
      <c r="E35" s="9"/>
      <c r="F35" s="9"/>
      <c r="G35" s="9"/>
      <c r="H35" s="9"/>
    </row>
    <row r="36" spans="1:8">
      <c r="A36" s="253" t="s">
        <v>89</v>
      </c>
      <c r="B36" s="253"/>
      <c r="C36" s="11" t="str">
        <f t="array" ref="C36">IF(AND(C37:C38=""),"",SUM(C37:C38))</f>
        <v/>
      </c>
      <c r="D36" s="11" t="str">
        <f t="array" ref="D36">IF(AND(D37:D38=""),"",SUM(D37:D38))</f>
        <v/>
      </c>
      <c r="E36" s="11" t="str">
        <f t="array" ref="E36">IF(AND(E37:E38=""),"",SUM(E37:E38))</f>
        <v/>
      </c>
      <c r="F36" s="11" t="str">
        <f t="array" ref="F36">IF(AND(F37:F38=""),"",SUM(F37:F38))</f>
        <v/>
      </c>
      <c r="G36" s="11" t="str">
        <f t="array" ref="G36">IF(AND(G37:G38=""),"",SUM(G37:G38))</f>
        <v/>
      </c>
      <c r="H36" s="11" t="str">
        <f t="array" ref="H36">IF(AND(H37:H38=""),"",SUM(H37:H38))</f>
        <v/>
      </c>
    </row>
    <row r="37" spans="1:8">
      <c r="A37" s="254" t="s">
        <v>100</v>
      </c>
      <c r="B37" s="254"/>
      <c r="C37" s="9"/>
      <c r="D37" s="9"/>
      <c r="E37" s="9"/>
      <c r="F37" s="9"/>
      <c r="G37" s="9"/>
      <c r="H37" s="9"/>
    </row>
    <row r="38" spans="1:8">
      <c r="A38" s="254" t="s">
        <v>101</v>
      </c>
      <c r="B38" s="254"/>
      <c r="C38" s="9"/>
      <c r="D38" s="9"/>
      <c r="E38" s="9"/>
      <c r="F38" s="9"/>
      <c r="G38" s="9"/>
      <c r="H38" s="9"/>
    </row>
    <row r="39" spans="1:8">
      <c r="A39" s="247" t="s">
        <v>102</v>
      </c>
      <c r="B39" s="248"/>
      <c r="C39" s="9"/>
      <c r="D39" s="9"/>
      <c r="E39" s="9"/>
      <c r="F39" s="9"/>
      <c r="G39" s="9"/>
      <c r="H39" s="9"/>
    </row>
    <row r="40" spans="1:8">
      <c r="A40" s="244" t="s">
        <v>103</v>
      </c>
      <c r="B40" s="245"/>
      <c r="C40" s="8">
        <f t="shared" ref="C40:H40" si="5">C19+C31</f>
        <v>-82300</v>
      </c>
      <c r="D40" s="8">
        <f t="shared" si="5"/>
        <v>-15900</v>
      </c>
      <c r="E40" s="8">
        <f t="shared" si="5"/>
        <v>-21700</v>
      </c>
      <c r="F40" s="8">
        <f t="shared" si="5"/>
        <v>0</v>
      </c>
      <c r="G40" s="8">
        <f t="shared" si="5"/>
        <v>-15000</v>
      </c>
      <c r="H40" s="8">
        <f t="shared" si="5"/>
        <v>0</v>
      </c>
    </row>
    <row r="41" spans="1:8">
      <c r="A41" s="257" t="s">
        <v>104</v>
      </c>
      <c r="B41" s="258"/>
      <c r="C41" s="11"/>
      <c r="D41" s="11"/>
      <c r="E41" s="11"/>
      <c r="F41" s="11"/>
      <c r="G41" s="11"/>
      <c r="H41" s="11"/>
    </row>
    <row r="42" spans="1:8">
      <c r="A42" s="259" t="s">
        <v>84</v>
      </c>
      <c r="B42" s="259"/>
      <c r="C42" s="8">
        <f t="shared" ref="C42:H42" si="6">SUM(C43:C46)</f>
        <v>0</v>
      </c>
      <c r="D42" s="8">
        <f t="shared" si="6"/>
        <v>0</v>
      </c>
      <c r="E42" s="8">
        <f t="shared" si="6"/>
        <v>0</v>
      </c>
      <c r="F42" s="8">
        <f t="shared" si="6"/>
        <v>0</v>
      </c>
      <c r="G42" s="8">
        <f t="shared" si="6"/>
        <v>0</v>
      </c>
      <c r="H42" s="8">
        <f t="shared" si="6"/>
        <v>0</v>
      </c>
    </row>
    <row r="43" spans="1:8">
      <c r="A43" s="249" t="s">
        <v>105</v>
      </c>
      <c r="B43" s="249"/>
      <c r="C43" s="10"/>
      <c r="D43" s="10"/>
      <c r="E43" s="10"/>
      <c r="F43" s="10"/>
      <c r="G43" s="10"/>
      <c r="H43" s="10"/>
    </row>
    <row r="44" spans="1:8">
      <c r="A44" s="246" t="s">
        <v>106</v>
      </c>
      <c r="B44" s="246"/>
      <c r="C44" s="9"/>
      <c r="D44" s="9"/>
      <c r="E44" s="9"/>
      <c r="F44" s="9"/>
      <c r="G44" s="9"/>
      <c r="H44" s="9"/>
    </row>
    <row r="45" spans="1:8">
      <c r="A45" s="246" t="s">
        <v>107</v>
      </c>
      <c r="B45" s="246"/>
      <c r="C45" s="9"/>
      <c r="D45" s="9"/>
      <c r="E45" s="9"/>
      <c r="F45" s="9"/>
      <c r="G45" s="9"/>
      <c r="H45" s="9"/>
    </row>
    <row r="46" spans="1:8">
      <c r="A46" s="247" t="s">
        <v>108</v>
      </c>
      <c r="B46" s="248"/>
      <c r="C46" s="9"/>
      <c r="D46" s="9"/>
      <c r="E46" s="9"/>
      <c r="F46" s="9"/>
      <c r="G46" s="9"/>
      <c r="H46" s="9"/>
    </row>
    <row r="47" spans="1:8">
      <c r="A47" s="244" t="s">
        <v>96</v>
      </c>
      <c r="B47" s="245"/>
      <c r="C47" s="8">
        <f t="array" ref="C47">IF(AND(C48:C56=""),"",SUM(C48:C56))</f>
        <v>0</v>
      </c>
      <c r="D47" s="8">
        <f t="array" ref="D47">IF(AND(D48:D56=""),"",SUM(D48:D56))</f>
        <v>0</v>
      </c>
      <c r="E47" s="8">
        <f t="array" ref="E47">IF(AND(E48:E56=""),"",SUM(E48:E56))</f>
        <v>0</v>
      </c>
      <c r="F47" s="8">
        <f t="array" ref="F47">IF(AND(F48:F56=""),"",SUM(F48:F56))</f>
        <v>0</v>
      </c>
      <c r="G47" s="8">
        <f t="array" ref="G47">IF(AND(G48:G56=""),"",SUM(G48:G56))</f>
        <v>0</v>
      </c>
      <c r="H47" s="8">
        <f t="array" ref="H47">IF(AND(H48:H56=""),"",SUM(H48:H56))</f>
        <v>0</v>
      </c>
    </row>
    <row r="48" spans="1:8">
      <c r="A48" s="246" t="s">
        <v>109</v>
      </c>
      <c r="B48" s="246"/>
      <c r="C48" s="9"/>
      <c r="D48" s="9"/>
      <c r="E48" s="9"/>
      <c r="F48" s="9"/>
      <c r="G48" s="9"/>
      <c r="H48" s="9">
        <v>0</v>
      </c>
    </row>
    <row r="49" spans="1:8">
      <c r="A49" s="246" t="s">
        <v>110</v>
      </c>
      <c r="B49" s="246"/>
      <c r="C49" s="9"/>
      <c r="D49" s="9"/>
      <c r="E49" s="9"/>
      <c r="F49" s="9"/>
      <c r="G49" s="9"/>
      <c r="H49" s="9">
        <v>0</v>
      </c>
    </row>
    <row r="50" spans="1:8">
      <c r="A50" s="246" t="s">
        <v>111</v>
      </c>
      <c r="B50" s="246"/>
      <c r="C50" s="9"/>
      <c r="D50" s="9"/>
      <c r="E50" s="9"/>
      <c r="F50" s="9"/>
      <c r="G50" s="9"/>
      <c r="H50" s="9"/>
    </row>
    <row r="51" spans="1:8">
      <c r="A51" s="246" t="s">
        <v>112</v>
      </c>
      <c r="B51" s="246"/>
      <c r="C51" s="9"/>
      <c r="D51" s="9"/>
      <c r="E51" s="9"/>
      <c r="F51" s="9"/>
      <c r="G51" s="9"/>
      <c r="H51" s="9"/>
    </row>
    <row r="52" spans="1:8">
      <c r="A52" s="246" t="s">
        <v>113</v>
      </c>
      <c r="B52" s="246"/>
      <c r="C52" s="9"/>
      <c r="D52" s="9"/>
      <c r="E52" s="9"/>
      <c r="F52" s="9"/>
      <c r="G52" s="9"/>
      <c r="H52" s="9">
        <v>0</v>
      </c>
    </row>
    <row r="53" spans="1:8">
      <c r="A53" s="246" t="s">
        <v>114</v>
      </c>
      <c r="B53" s="246"/>
      <c r="C53" s="9"/>
      <c r="D53" s="9"/>
      <c r="E53" s="9"/>
      <c r="F53" s="9"/>
      <c r="G53" s="9"/>
      <c r="H53" s="9">
        <v>0</v>
      </c>
    </row>
    <row r="54" spans="1:8">
      <c r="A54" s="247" t="s">
        <v>115</v>
      </c>
      <c r="B54" s="248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</row>
    <row r="55" spans="1:8">
      <c r="A55" s="246" t="s">
        <v>116</v>
      </c>
      <c r="B55" s="246"/>
      <c r="C55" s="9"/>
      <c r="D55" s="9"/>
      <c r="E55" s="9"/>
      <c r="F55" s="9"/>
      <c r="G55" s="9"/>
      <c r="H55" s="9"/>
    </row>
    <row r="56" spans="1:8">
      <c r="A56" s="246" t="s">
        <v>117</v>
      </c>
      <c r="B56" s="246"/>
      <c r="C56" s="9"/>
      <c r="D56" s="9"/>
      <c r="E56" s="9"/>
      <c r="F56" s="9"/>
      <c r="G56" s="9">
        <v>0</v>
      </c>
      <c r="H56" s="9"/>
    </row>
    <row r="57" spans="1:8">
      <c r="A57" s="262" t="s">
        <v>118</v>
      </c>
      <c r="B57" s="263"/>
      <c r="C57" s="8">
        <f t="shared" ref="C57:H57" si="7">C42+C47</f>
        <v>0</v>
      </c>
      <c r="D57" s="8">
        <f t="shared" si="7"/>
        <v>0</v>
      </c>
      <c r="E57" s="8">
        <f t="shared" si="7"/>
        <v>0</v>
      </c>
      <c r="F57" s="8">
        <f t="shared" si="7"/>
        <v>0</v>
      </c>
      <c r="G57" s="8">
        <f t="shared" si="7"/>
        <v>0</v>
      </c>
      <c r="H57" s="8">
        <f t="shared" si="7"/>
        <v>0</v>
      </c>
    </row>
    <row r="58" spans="1:8">
      <c r="A58" s="250" t="s">
        <v>119</v>
      </c>
      <c r="B58" s="250"/>
      <c r="C58" s="12">
        <f t="shared" ref="C58:H58" si="8">C17+C40+C57</f>
        <v>56995.165330683871</v>
      </c>
      <c r="D58" s="12">
        <f t="shared" si="8"/>
        <v>-12497.834450649418</v>
      </c>
      <c r="E58" s="12">
        <f t="shared" si="8"/>
        <v>10858.581130097264</v>
      </c>
      <c r="F58" s="12">
        <f t="shared" si="8"/>
        <v>61023.359230407084</v>
      </c>
      <c r="G58" s="12">
        <f t="shared" si="8"/>
        <v>75192.603180592661</v>
      </c>
      <c r="H58" s="12">
        <f t="shared" si="8"/>
        <v>93971.108122398175</v>
      </c>
    </row>
    <row r="59" spans="1:8">
      <c r="A59" s="250" t="s">
        <v>120</v>
      </c>
      <c r="B59" s="250"/>
      <c r="C59" s="9">
        <f t="shared" ref="C59:H59" si="9">C58</f>
        <v>56995.165330683871</v>
      </c>
      <c r="D59" s="9">
        <f t="shared" si="9"/>
        <v>-12497.834450649418</v>
      </c>
      <c r="E59" s="9">
        <f t="shared" si="9"/>
        <v>10858.581130097264</v>
      </c>
      <c r="F59" s="9">
        <f t="shared" si="9"/>
        <v>61023.359230407084</v>
      </c>
      <c r="G59" s="9">
        <f t="shared" si="9"/>
        <v>75192.603180592661</v>
      </c>
      <c r="H59" s="9">
        <f t="shared" si="9"/>
        <v>93971.108122398175</v>
      </c>
    </row>
    <row r="60" spans="1:8">
      <c r="A60" s="260" t="s">
        <v>121</v>
      </c>
      <c r="B60" s="261"/>
      <c r="C60" s="9"/>
      <c r="D60" s="9"/>
      <c r="E60" s="9"/>
      <c r="F60" s="9"/>
      <c r="G60" s="9"/>
      <c r="H60" s="9"/>
    </row>
    <row r="61" spans="1:8">
      <c r="A61" s="250" t="s">
        <v>122</v>
      </c>
      <c r="B61" s="250"/>
      <c r="C61" s="13">
        <v>0</v>
      </c>
      <c r="D61" s="13">
        <f>'10.Bilans'!C22</f>
        <v>147112.18</v>
      </c>
      <c r="E61" s="13">
        <f>'10.Bilans'!D22</f>
        <v>104716.2</v>
      </c>
      <c r="F61" s="13">
        <f>'10.Bilans'!E22</f>
        <v>103234.1</v>
      </c>
      <c r="G61" s="13">
        <f>'10.Bilans'!F22</f>
        <v>105400.37</v>
      </c>
      <c r="H61" s="13">
        <f>'10.Bilans'!G22</f>
        <v>105271.11</v>
      </c>
    </row>
    <row r="62" spans="1:8">
      <c r="A62" s="250" t="s">
        <v>123</v>
      </c>
      <c r="B62" s="250"/>
      <c r="C62" s="12">
        <f t="shared" ref="C62:H62" si="10">C61+C59</f>
        <v>56995.165330683871</v>
      </c>
      <c r="D62" s="12">
        <f t="shared" si="10"/>
        <v>134614.34554935058</v>
      </c>
      <c r="E62" s="12">
        <f t="shared" si="10"/>
        <v>115574.78113009725</v>
      </c>
      <c r="F62" s="12">
        <f t="shared" si="10"/>
        <v>164257.45923040708</v>
      </c>
      <c r="G62" s="12">
        <f t="shared" si="10"/>
        <v>180592.97318059264</v>
      </c>
      <c r="H62" s="12">
        <f t="shared" si="10"/>
        <v>199242.21812239819</v>
      </c>
    </row>
    <row r="63" spans="1:8">
      <c r="A63" s="260" t="s">
        <v>124</v>
      </c>
      <c r="B63" s="261"/>
      <c r="C63" s="9"/>
      <c r="D63" s="9"/>
      <c r="E63" s="9"/>
      <c r="F63" s="9"/>
      <c r="G63" s="9"/>
      <c r="H63" s="9"/>
    </row>
    <row r="64" spans="1:8">
      <c r="C64" s="5"/>
      <c r="D64" s="5"/>
      <c r="E64" s="5"/>
      <c r="F64" s="5"/>
      <c r="G64" s="5"/>
      <c r="H64" s="5"/>
    </row>
    <row r="65" spans="3:8">
      <c r="C65" s="5">
        <v>271715.87439999997</v>
      </c>
      <c r="D65" s="5">
        <v>297953.27192000009</v>
      </c>
      <c r="E65" s="5">
        <v>333349.36421599984</v>
      </c>
      <c r="F65" s="5">
        <v>383184.10259680019</v>
      </c>
      <c r="G65" s="5">
        <v>377880.38430164015</v>
      </c>
      <c r="H65" s="5">
        <v>435773.25970122183</v>
      </c>
    </row>
    <row r="66" spans="3:8">
      <c r="C66" s="5">
        <f t="shared" ref="C66:H66" si="11">C62-C65</f>
        <v>-214720.7090693161</v>
      </c>
      <c r="D66" s="5">
        <f t="shared" si="11"/>
        <v>-163338.92637064951</v>
      </c>
      <c r="E66" s="5">
        <f t="shared" si="11"/>
        <v>-217774.58308590259</v>
      </c>
      <c r="F66" s="5">
        <f t="shared" si="11"/>
        <v>-218926.64336639311</v>
      </c>
      <c r="G66" s="5">
        <f t="shared" si="11"/>
        <v>-197287.41112104751</v>
      </c>
      <c r="H66" s="5">
        <f t="shared" si="11"/>
        <v>-236531.04157882364</v>
      </c>
    </row>
    <row r="67" spans="3:8">
      <c r="C67" s="5"/>
      <c r="D67" s="5"/>
      <c r="E67" s="5"/>
      <c r="F67" s="5"/>
      <c r="G67" s="5"/>
      <c r="H67" s="5"/>
    </row>
    <row r="68" spans="3:8">
      <c r="C68" s="5"/>
      <c r="D68" s="5"/>
      <c r="E68" s="5"/>
      <c r="F68" s="5"/>
      <c r="G68" s="5"/>
      <c r="H68" s="5"/>
    </row>
    <row r="69" spans="3:8">
      <c r="C69" s="5"/>
      <c r="D69" s="5"/>
      <c r="E69" s="5"/>
      <c r="F69" s="5"/>
      <c r="G69" s="5"/>
      <c r="H69" s="5"/>
    </row>
    <row r="70" spans="3:8">
      <c r="C70" s="5"/>
      <c r="D70" s="5"/>
      <c r="E70" s="5"/>
      <c r="F70" s="5"/>
      <c r="G70" s="5"/>
      <c r="H70" s="5"/>
    </row>
    <row r="71" spans="3:8">
      <c r="C71" s="5"/>
      <c r="D71" s="5"/>
      <c r="E71" s="5"/>
      <c r="F71" s="5"/>
      <c r="G71" s="5"/>
      <c r="H71" s="5"/>
    </row>
    <row r="72" spans="3:8">
      <c r="C72" s="5"/>
      <c r="D72" s="5"/>
      <c r="E72" s="5"/>
      <c r="F72" s="5"/>
      <c r="G72" s="5"/>
      <c r="H72" s="5"/>
    </row>
    <row r="73" spans="3:8">
      <c r="C73" s="5"/>
      <c r="D73" s="5"/>
      <c r="E73" s="5"/>
      <c r="F73" s="5"/>
      <c r="G73" s="5"/>
      <c r="H73" s="5"/>
    </row>
    <row r="74" spans="3:8">
      <c r="C74" s="5"/>
      <c r="D74" s="5"/>
      <c r="E74" s="5"/>
      <c r="F74" s="5"/>
      <c r="G74" s="5"/>
      <c r="H74" s="5"/>
    </row>
    <row r="75" spans="3:8">
      <c r="C75" s="5"/>
      <c r="D75" s="5"/>
      <c r="E75" s="5"/>
      <c r="F75" s="5"/>
      <c r="G75" s="5"/>
      <c r="H75" s="5"/>
    </row>
    <row r="76" spans="3:8">
      <c r="C76" s="5"/>
      <c r="D76" s="5"/>
      <c r="E76" s="5"/>
      <c r="F76" s="5"/>
      <c r="G76" s="5"/>
      <c r="H76" s="5"/>
    </row>
    <row r="77" spans="3:8">
      <c r="C77" s="5"/>
      <c r="D77" s="5"/>
      <c r="E77" s="5"/>
      <c r="F77" s="5"/>
      <c r="G77" s="5"/>
      <c r="H77" s="5"/>
    </row>
    <row r="78" spans="3:8">
      <c r="C78" s="5"/>
      <c r="D78" s="5"/>
      <c r="E78" s="5"/>
      <c r="F78" s="5"/>
      <c r="G78" s="5"/>
      <c r="H78" s="5"/>
    </row>
    <row r="79" spans="3:8">
      <c r="C79" s="5"/>
      <c r="D79" s="5"/>
      <c r="E79" s="5"/>
      <c r="F79" s="5"/>
      <c r="G79" s="5"/>
      <c r="H79" s="5"/>
    </row>
    <row r="80" spans="3:8">
      <c r="C80" s="5"/>
      <c r="D80" s="5"/>
      <c r="E80" s="5"/>
      <c r="F80" s="5"/>
      <c r="G80" s="5"/>
      <c r="H80" s="5"/>
    </row>
    <row r="81" spans="3:8">
      <c r="C81" s="5"/>
      <c r="D81" s="5"/>
      <c r="E81" s="5"/>
      <c r="F81" s="5"/>
      <c r="G81" s="5"/>
      <c r="H81" s="5"/>
    </row>
    <row r="82" spans="3:8">
      <c r="C82" s="5"/>
      <c r="D82" s="5"/>
      <c r="E82" s="5"/>
      <c r="F82" s="5"/>
      <c r="G82" s="5"/>
      <c r="H82" s="5"/>
    </row>
  </sheetData>
  <mergeCells count="63">
    <mergeCell ref="A62:B62"/>
    <mergeCell ref="A63:B63"/>
    <mergeCell ref="A55:B55"/>
    <mergeCell ref="A56:B56"/>
    <mergeCell ref="A57:B57"/>
    <mergeCell ref="A58:B58"/>
    <mergeCell ref="A59:B59"/>
    <mergeCell ref="A60:B60"/>
    <mergeCell ref="A51:B51"/>
    <mergeCell ref="A52:B52"/>
    <mergeCell ref="A53:B53"/>
    <mergeCell ref="A54:B54"/>
    <mergeCell ref="A61:B61"/>
    <mergeCell ref="A46:B46"/>
    <mergeCell ref="A47:B47"/>
    <mergeCell ref="A48:B48"/>
    <mergeCell ref="A49:B49"/>
    <mergeCell ref="A50:B50"/>
    <mergeCell ref="A41:B41"/>
    <mergeCell ref="A42:B42"/>
    <mergeCell ref="A43:B43"/>
    <mergeCell ref="A44:B44"/>
    <mergeCell ref="A45:B45"/>
    <mergeCell ref="A36:B36"/>
    <mergeCell ref="A37:B37"/>
    <mergeCell ref="A38:B38"/>
    <mergeCell ref="A39:B39"/>
    <mergeCell ref="A40:B40"/>
    <mergeCell ref="A31:B31"/>
    <mergeCell ref="A32:B32"/>
    <mergeCell ref="A33:B33"/>
    <mergeCell ref="A34:B34"/>
    <mergeCell ref="A35:B35"/>
    <mergeCell ref="A26:B26"/>
    <mergeCell ref="A27:B27"/>
    <mergeCell ref="A28:B28"/>
    <mergeCell ref="A29:B29"/>
    <mergeCell ref="A30:B30"/>
    <mergeCell ref="A21:B21"/>
    <mergeCell ref="A22:B22"/>
    <mergeCell ref="A23:B23"/>
    <mergeCell ref="A24:B24"/>
    <mergeCell ref="A25:B25"/>
    <mergeCell ref="A16:B16"/>
    <mergeCell ref="A17:B17"/>
    <mergeCell ref="A18:B18"/>
    <mergeCell ref="A19:B19"/>
    <mergeCell ref="A20:B20"/>
    <mergeCell ref="A11:B11"/>
    <mergeCell ref="A12:B12"/>
    <mergeCell ref="A13:B13"/>
    <mergeCell ref="A14:B14"/>
    <mergeCell ref="A15:B15"/>
    <mergeCell ref="A6:B6"/>
    <mergeCell ref="A7:B7"/>
    <mergeCell ref="A8:B8"/>
    <mergeCell ref="A9:B9"/>
    <mergeCell ref="A10:B10"/>
    <mergeCell ref="A1:C1"/>
    <mergeCell ref="A2:B2"/>
    <mergeCell ref="A3:B3"/>
    <mergeCell ref="A4:B4"/>
    <mergeCell ref="A5:B5"/>
  </mergeCells>
  <printOptions horizontalCentered="1" verticalCentered="1"/>
  <pageMargins left="0" right="0" top="0" bottom="0" header="0" footer="0"/>
  <pageSetup paperSize="9" scale="90" orientation="portrait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Arkusz12">
    <tabColor rgb="FF00B050"/>
  </sheetPr>
  <dimension ref="A1:H15"/>
  <sheetViews>
    <sheetView zoomScaleNormal="100" workbookViewId="0">
      <selection activeCell="J19" sqref="J19"/>
    </sheetView>
  </sheetViews>
  <sheetFormatPr defaultRowHeight="16.8"/>
  <cols>
    <col min="1" max="1" width="48.59765625" style="85" customWidth="1"/>
    <col min="2" max="2" width="15.59765625" style="85" customWidth="1"/>
    <col min="3" max="3" width="12.59765625" style="85" customWidth="1"/>
    <col min="4" max="5" width="8.796875" style="85"/>
    <col min="6" max="6" width="10.3984375" style="85" customWidth="1"/>
    <col min="7" max="16384" width="8.796875" style="85"/>
  </cols>
  <sheetData>
    <row r="1" spans="1:8" ht="72.599999999999994" customHeight="1">
      <c r="A1" s="268" t="s">
        <v>402</v>
      </c>
      <c r="B1" s="269"/>
      <c r="C1" s="269"/>
      <c r="D1" s="269"/>
      <c r="E1" s="269"/>
      <c r="F1" s="269"/>
      <c r="H1" s="131" t="s">
        <v>256</v>
      </c>
    </row>
    <row r="2" spans="1:8">
      <c r="A2" s="282" t="s">
        <v>278</v>
      </c>
      <c r="B2" s="283"/>
      <c r="C2" s="285"/>
    </row>
    <row r="3" spans="1:8">
      <c r="A3" s="85" t="s">
        <v>279</v>
      </c>
      <c r="B3" s="132">
        <f>'0.Panel'!B27</f>
        <v>1.8</v>
      </c>
      <c r="C3" s="227" t="s">
        <v>286</v>
      </c>
    </row>
    <row r="4" spans="1:8" ht="40.200000000000003" customHeight="1">
      <c r="A4" s="133" t="s">
        <v>192</v>
      </c>
      <c r="B4" s="54">
        <f>'6.Koszty początkowe'!C11*B3</f>
        <v>483377.61599999998</v>
      </c>
      <c r="C4" s="329" t="s">
        <v>403</v>
      </c>
      <c r="D4" s="330"/>
      <c r="E4" s="330"/>
      <c r="F4" s="330"/>
    </row>
    <row r="5" spans="1:8" ht="19.8" customHeight="1">
      <c r="A5" s="134" t="s">
        <v>365</v>
      </c>
      <c r="B5" s="54">
        <f>B4-'6.Koszty początkowe'!C11</f>
        <v>214834.49599999998</v>
      </c>
      <c r="C5" s="331"/>
      <c r="D5" s="331"/>
      <c r="E5" s="331"/>
      <c r="F5" s="331"/>
    </row>
    <row r="6" spans="1:8">
      <c r="C6" s="331"/>
      <c r="D6" s="331"/>
      <c r="E6" s="331"/>
      <c r="F6" s="331"/>
    </row>
    <row r="7" spans="1:8">
      <c r="C7" s="331"/>
      <c r="D7" s="331"/>
      <c r="E7" s="331"/>
      <c r="F7" s="331"/>
    </row>
    <row r="8" spans="1:8">
      <c r="C8" s="331"/>
      <c r="D8" s="331"/>
      <c r="E8" s="331"/>
      <c r="F8" s="331"/>
    </row>
    <row r="9" spans="1:8">
      <c r="C9" s="331"/>
      <c r="D9" s="331"/>
      <c r="E9" s="331"/>
      <c r="F9" s="331"/>
    </row>
    <row r="10" spans="1:8" ht="13.2" customHeight="1">
      <c r="C10" s="332"/>
      <c r="D10" s="332"/>
      <c r="E10" s="332"/>
      <c r="F10" s="332"/>
    </row>
    <row r="11" spans="1:8" ht="14.4" hidden="1" customHeight="1">
      <c r="C11" s="332"/>
      <c r="D11" s="332"/>
      <c r="E11" s="332"/>
      <c r="F11" s="332"/>
    </row>
    <row r="12" spans="1:8" ht="16.8" hidden="1" customHeight="1">
      <c r="C12" s="332"/>
      <c r="D12" s="332"/>
      <c r="E12" s="332"/>
      <c r="F12" s="332"/>
    </row>
    <row r="13" spans="1:8" ht="16.8" hidden="1" customHeight="1">
      <c r="C13" s="332"/>
      <c r="D13" s="332"/>
      <c r="E13" s="332"/>
      <c r="F13" s="332"/>
    </row>
    <row r="14" spans="1:8">
      <c r="C14" s="281"/>
      <c r="D14" s="281"/>
      <c r="E14" s="281"/>
      <c r="F14" s="281"/>
    </row>
    <row r="15" spans="1:8">
      <c r="C15" s="281"/>
      <c r="D15" s="281"/>
      <c r="E15" s="281"/>
      <c r="F15" s="281"/>
    </row>
  </sheetData>
  <sheetProtection algorithmName="SHA-512" hashValue="HTlWCramIJcVVTwwlZmsUSwY7tjFivnkDPBAoOKaM74DGWkqN7GUTwQTZ4BaIfBzwsWUAmzAymmp1iOuFNr/tw==" saltValue="9upXhVmCUARflcaGWRdUKQ==" spinCount="100000" sheet="1" scenarios="1"/>
  <mergeCells count="3">
    <mergeCell ref="A2:C2"/>
    <mergeCell ref="A1:F1"/>
    <mergeCell ref="C4:F15"/>
  </mergeCell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usz5">
    <tabColor rgb="FF00B050"/>
  </sheetPr>
  <dimension ref="A1:H5"/>
  <sheetViews>
    <sheetView zoomScale="85" zoomScaleNormal="85" workbookViewId="0">
      <selection sqref="A1:F1"/>
    </sheetView>
  </sheetViews>
  <sheetFormatPr defaultRowHeight="16.8"/>
  <cols>
    <col min="1" max="1" width="48.69921875" style="24" bestFit="1" customWidth="1"/>
    <col min="2" max="2" width="14.69921875" style="24" customWidth="1"/>
    <col min="3" max="7" width="12.69921875" style="24" bestFit="1" customWidth="1"/>
    <col min="8" max="8" width="37.5" style="24" bestFit="1" customWidth="1"/>
    <col min="9" max="16384" width="8.796875" style="24"/>
  </cols>
  <sheetData>
    <row r="1" spans="1:8" ht="74.400000000000006" customHeight="1">
      <c r="A1" s="333" t="s">
        <v>402</v>
      </c>
      <c r="B1" s="334"/>
      <c r="C1" s="334"/>
      <c r="D1" s="334"/>
      <c r="E1" s="334"/>
      <c r="F1" s="334"/>
    </row>
    <row r="2" spans="1:8" ht="17.399999999999999">
      <c r="A2" s="313" t="s">
        <v>142</v>
      </c>
      <c r="B2" s="314"/>
      <c r="C2" s="313"/>
      <c r="D2" s="314"/>
      <c r="E2" s="313"/>
      <c r="F2" s="314"/>
      <c r="G2" s="173"/>
      <c r="H2" s="36" t="s">
        <v>295</v>
      </c>
    </row>
    <row r="3" spans="1:8" ht="17.399999999999999">
      <c r="A3" s="178"/>
      <c r="B3" s="175">
        <f>'0.Panel'!$B$3</f>
        <v>2024</v>
      </c>
      <c r="C3" s="175">
        <f>B3+1</f>
        <v>2025</v>
      </c>
      <c r="D3" s="175">
        <f>C3+1</f>
        <v>2026</v>
      </c>
      <c r="E3" s="175">
        <f>D3+1</f>
        <v>2027</v>
      </c>
      <c r="F3" s="175">
        <f>E3+1</f>
        <v>2028</v>
      </c>
      <c r="G3" s="175">
        <f>F3+1</f>
        <v>2029</v>
      </c>
    </row>
    <row r="4" spans="1:8" ht="93" customHeight="1">
      <c r="A4" s="185" t="s">
        <v>284</v>
      </c>
      <c r="B4" s="186">
        <f>'6.1.Kwota na materiały'!$B$5</f>
        <v>214834.49599999998</v>
      </c>
      <c r="C4" s="186">
        <f>'6.1.Kwota na materiały'!$B$5</f>
        <v>214834.49599999998</v>
      </c>
      <c r="D4" s="186">
        <f>'6.1.Kwota na materiały'!$B$5</f>
        <v>214834.49599999998</v>
      </c>
      <c r="E4" s="186">
        <f>'6.1.Kwota na materiały'!$B$5</f>
        <v>214834.49599999998</v>
      </c>
      <c r="F4" s="186">
        <f>'6.1.Kwota na materiały'!$B$5</f>
        <v>214834.49599999998</v>
      </c>
      <c r="G4" s="186">
        <f>'6.1.Kwota na materiały'!$B$5</f>
        <v>214834.49599999998</v>
      </c>
    </row>
    <row r="5" spans="1:8">
      <c r="A5" s="178" t="s">
        <v>18</v>
      </c>
      <c r="B5" s="179">
        <f t="shared" ref="B5:G5" si="0">SUM(B4:B4)</f>
        <v>214834.49599999998</v>
      </c>
      <c r="C5" s="179">
        <f t="shared" si="0"/>
        <v>214834.49599999998</v>
      </c>
      <c r="D5" s="179">
        <f t="shared" si="0"/>
        <v>214834.49599999998</v>
      </c>
      <c r="E5" s="179">
        <f t="shared" si="0"/>
        <v>214834.49599999998</v>
      </c>
      <c r="F5" s="179">
        <f t="shared" si="0"/>
        <v>214834.49599999998</v>
      </c>
      <c r="G5" s="179">
        <f t="shared" si="0"/>
        <v>214834.49599999998</v>
      </c>
    </row>
  </sheetData>
  <sheetProtection algorithmName="SHA-512" hashValue="3nYFucbbI+jbsE9XtoIrNGZFxUwprALXhK+vSAbOV1XezZItdIFvnPIntWzJVJQF1NJkChHyWE/HP9irlWnQPQ==" saltValue="ItOOuxHmeg+6w2hm9BLNkg==" spinCount="100000" sheet="1"/>
  <mergeCells count="4">
    <mergeCell ref="A2:B2"/>
    <mergeCell ref="C2:D2"/>
    <mergeCell ref="E2:F2"/>
    <mergeCell ref="A1:F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Arkusz13">
    <tabColor rgb="FF00B050"/>
  </sheetPr>
  <dimension ref="A1:F14"/>
  <sheetViews>
    <sheetView zoomScaleNormal="100" workbookViewId="0">
      <selection activeCell="J13" sqref="J13"/>
    </sheetView>
  </sheetViews>
  <sheetFormatPr defaultRowHeight="16.8"/>
  <cols>
    <col min="1" max="1" width="19.09765625" style="24" bestFit="1" customWidth="1"/>
    <col min="2" max="2" width="11.3984375" style="24" bestFit="1" customWidth="1"/>
    <col min="3" max="3" width="28.5" style="24" bestFit="1" customWidth="1"/>
    <col min="4" max="4" width="6.59765625" style="24" bestFit="1" customWidth="1"/>
    <col min="5" max="5" width="28.69921875" style="24" customWidth="1"/>
    <col min="6" max="6" width="10.796875" style="24" bestFit="1" customWidth="1"/>
    <col min="7" max="7" width="9.296875" style="24" bestFit="1" customWidth="1"/>
    <col min="8" max="16384" width="8.796875" style="24"/>
  </cols>
  <sheetData>
    <row r="1" spans="1:6" ht="70.2" customHeight="1">
      <c r="A1" s="268" t="s">
        <v>402</v>
      </c>
      <c r="B1" s="269"/>
      <c r="C1" s="269"/>
      <c r="D1" s="269"/>
      <c r="E1" s="269"/>
      <c r="F1" s="269"/>
    </row>
    <row r="2" spans="1:6">
      <c r="A2" s="335" t="s">
        <v>200</v>
      </c>
      <c r="B2" s="336"/>
      <c r="C2" s="281"/>
      <c r="D2" s="281"/>
      <c r="E2" s="281"/>
      <c r="F2" s="281"/>
    </row>
    <row r="3" spans="1:6">
      <c r="A3" t="s">
        <v>193</v>
      </c>
      <c r="B3"/>
      <c r="C3" t="s">
        <v>201</v>
      </c>
      <c r="D3"/>
      <c r="E3"/>
      <c r="F3"/>
    </row>
    <row r="4" spans="1:6">
      <c r="A4" t="s">
        <v>127</v>
      </c>
      <c r="B4"/>
      <c r="C4"/>
      <c r="D4" s="188">
        <f>'0.Panel'!B29</f>
        <v>0.05</v>
      </c>
      <c r="E4" s="189">
        <f>'6.1.Kwota na materiały'!B5*D4</f>
        <v>10741.7248</v>
      </c>
      <c r="F4"/>
    </row>
    <row r="5" spans="1:6">
      <c r="A5" t="s">
        <v>128</v>
      </c>
      <c r="B5"/>
      <c r="C5"/>
      <c r="D5" s="188">
        <f>'0.Panel'!B31</f>
        <v>0.95</v>
      </c>
      <c r="E5" s="189">
        <f>'6.1.Kwota na materiały'!B5*D5</f>
        <v>204092.77119999999</v>
      </c>
      <c r="F5"/>
    </row>
    <row r="6" spans="1:6">
      <c r="A6"/>
      <c r="B6"/>
      <c r="C6"/>
      <c r="D6"/>
      <c r="E6"/>
      <c r="F6"/>
    </row>
    <row r="7" spans="1:6">
      <c r="A7" s="335" t="s">
        <v>194</v>
      </c>
      <c r="B7" s="336"/>
      <c r="C7" s="281"/>
      <c r="D7" s="281"/>
      <c r="E7" s="281"/>
      <c r="F7" s="281"/>
    </row>
    <row r="8" spans="1:6">
      <c r="A8" s="190" t="s">
        <v>129</v>
      </c>
      <c r="B8"/>
      <c r="C8"/>
      <c r="D8" s="191">
        <f>'0.Panel'!B16</f>
        <v>35.000000000000007</v>
      </c>
      <c r="E8"/>
      <c r="F8"/>
    </row>
    <row r="9" spans="1:6">
      <c r="A9" s="190" t="s">
        <v>130</v>
      </c>
      <c r="B9"/>
      <c r="C9"/>
      <c r="D9" s="191">
        <f>'0.Panel'!B19</f>
        <v>106.80000000000001</v>
      </c>
      <c r="E9"/>
      <c r="F9"/>
    </row>
    <row r="10" spans="1:6">
      <c r="A10"/>
      <c r="B10"/>
      <c r="C10"/>
      <c r="D10"/>
      <c r="E10"/>
      <c r="F10"/>
    </row>
    <row r="11" spans="1:6">
      <c r="A11" s="335" t="s">
        <v>366</v>
      </c>
      <c r="B11" s="336"/>
      <c r="C11" s="281"/>
      <c r="D11" s="281"/>
      <c r="E11" s="281"/>
      <c r="F11" s="281"/>
    </row>
    <row r="12" spans="1:6">
      <c r="A12" s="190" t="s">
        <v>131</v>
      </c>
      <c r="B12"/>
      <c r="C12"/>
      <c r="D12">
        <f>ROUNDDOWN(E4/D8,0)</f>
        <v>306</v>
      </c>
      <c r="E12" s="192" t="s">
        <v>132</v>
      </c>
      <c r="F12"/>
    </row>
    <row r="13" spans="1:6">
      <c r="A13" s="190" t="s">
        <v>198</v>
      </c>
      <c r="B13"/>
      <c r="C13"/>
      <c r="D13">
        <f>ROUNDDOWN(E5/D9,0)</f>
        <v>1910</v>
      </c>
      <c r="E13" s="192" t="s">
        <v>132</v>
      </c>
      <c r="F13"/>
    </row>
    <row r="14" spans="1:6" ht="17.399999999999999">
      <c r="A14" s="187"/>
    </row>
  </sheetData>
  <sheetProtection algorithmName="SHA-512" hashValue="60DuC0Gh2kTCU9yFKCSI85P5b6Ak9eiQnFm2jFn1FtwBAjJCQLPvzJdOKsQAi5I58PqgcP5xzLUnzz5sG+Febw==" saltValue="ng7eHO8kULRdqe0ZZH1RMQ==" spinCount="100000" sheet="1" scenarios="1"/>
  <mergeCells count="4">
    <mergeCell ref="A2:F2"/>
    <mergeCell ref="A7:F7"/>
    <mergeCell ref="A11:F11"/>
    <mergeCell ref="A1:F1"/>
  </mergeCells>
  <pageMargins left="0.7" right="0.7" top="0.75" bottom="0.75" header="0.3" footer="0.3"/>
  <pageSetup paperSize="9" orientation="portrait" horizontalDpi="4294967292" verticalDpi="120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usz6">
    <tabColor rgb="FF00B0F0"/>
  </sheetPr>
  <dimension ref="A1:N57"/>
  <sheetViews>
    <sheetView zoomScale="85" zoomScaleNormal="85" workbookViewId="0">
      <selection sqref="A1:F1"/>
    </sheetView>
  </sheetViews>
  <sheetFormatPr defaultColWidth="8.8984375" defaultRowHeight="16.8"/>
  <cols>
    <col min="1" max="1" width="32" style="24" customWidth="1"/>
    <col min="2" max="2" width="29.5" style="24" customWidth="1"/>
    <col min="3" max="7" width="15.5" style="24" bestFit="1" customWidth="1"/>
    <col min="8" max="16384" width="8.8984375" style="24"/>
  </cols>
  <sheetData>
    <row r="1" spans="1:14" ht="82.2" customHeight="1">
      <c r="A1" s="333" t="s">
        <v>402</v>
      </c>
      <c r="B1" s="334"/>
      <c r="C1" s="334"/>
      <c r="D1" s="334"/>
      <c r="E1" s="334"/>
      <c r="F1" s="334"/>
    </row>
    <row r="2" spans="1:14" ht="17.399999999999999">
      <c r="A2" s="313" t="s">
        <v>22</v>
      </c>
      <c r="B2" s="314"/>
      <c r="C2" s="313"/>
      <c r="D2" s="314"/>
      <c r="E2" s="313"/>
      <c r="F2" s="314"/>
      <c r="G2" s="173"/>
      <c r="H2" s="36" t="s">
        <v>295</v>
      </c>
    </row>
    <row r="3" spans="1:14" s="193" customFormat="1">
      <c r="A3" s="313" t="str">
        <f>'2.Rachunek zysków i start'!A6</f>
        <v xml:space="preserve">  Sprzedaż produktów i usług</v>
      </c>
      <c r="B3" s="314"/>
      <c r="C3" s="313"/>
      <c r="D3" s="314"/>
      <c r="E3" s="313"/>
      <c r="F3" s="314"/>
      <c r="G3" s="173"/>
      <c r="H3" s="24"/>
      <c r="I3" s="24"/>
      <c r="J3" s="24"/>
      <c r="K3" s="24"/>
      <c r="L3" s="24"/>
      <c r="M3" s="24"/>
      <c r="N3" s="24"/>
    </row>
    <row r="4" spans="1:14" ht="17.399999999999999">
      <c r="A4" s="174"/>
      <c r="B4" s="175">
        <f>'0.Panel'!$B$3</f>
        <v>2024</v>
      </c>
      <c r="C4" s="175">
        <f>B4+1</f>
        <v>2025</v>
      </c>
      <c r="D4" s="175">
        <f>C4+1</f>
        <v>2026</v>
      </c>
      <c r="E4" s="175">
        <f>D4+1</f>
        <v>2027</v>
      </c>
      <c r="F4" s="175">
        <f>E4+1</f>
        <v>2028</v>
      </c>
      <c r="G4" s="175">
        <f>F4+1</f>
        <v>2029</v>
      </c>
    </row>
    <row r="5" spans="1:14">
      <c r="A5" s="55" t="s">
        <v>287</v>
      </c>
      <c r="B5" s="28">
        <f>'0.Panel'!B8*'6.3.Wolumen produkcji'!D12</f>
        <v>30600</v>
      </c>
      <c r="C5" s="28">
        <f>B5+B5*'0.Panel'!$B$25</f>
        <v>31518</v>
      </c>
      <c r="D5" s="28">
        <f>C5+C5*'0.Panel'!$B$25</f>
        <v>32463.54</v>
      </c>
      <c r="E5" s="28">
        <f>D5+D5*'0.Panel'!$B$25</f>
        <v>33437.446199999998</v>
      </c>
      <c r="F5" s="28">
        <f>E5+E5*'0.Panel'!$B$25</f>
        <v>34440.569585999998</v>
      </c>
      <c r="G5" s="28">
        <f>F5+F5*'0.Panel'!$B$25</f>
        <v>35473.786673579998</v>
      </c>
    </row>
    <row r="6" spans="1:14">
      <c r="A6" s="27" t="s">
        <v>290</v>
      </c>
      <c r="B6" s="28">
        <f>'0.Panel'!B12*'6.3.Wolumen produkcji'!D13</f>
        <v>477500</v>
      </c>
      <c r="C6" s="28">
        <f>B6+B6*'0.Panel'!$B$25</f>
        <v>491825</v>
      </c>
      <c r="D6" s="28">
        <f>C6+C6*'0.Panel'!$B$25</f>
        <v>506579.75</v>
      </c>
      <c r="E6" s="28">
        <f>D6+D6*'0.Panel'!$B$25</f>
        <v>521777.14250000002</v>
      </c>
      <c r="F6" s="28">
        <f>E6+E6*'0.Panel'!$B$25</f>
        <v>537430.45677499997</v>
      </c>
      <c r="G6" s="28">
        <f>F6+F6*'0.Panel'!$B$25</f>
        <v>553553.37047824997</v>
      </c>
    </row>
    <row r="7" spans="1:14">
      <c r="A7" s="27"/>
      <c r="B7" s="28">
        <v>0</v>
      </c>
      <c r="C7" s="28">
        <v>0</v>
      </c>
      <c r="D7" s="28">
        <f>(C7*10%)+C7</f>
        <v>0</v>
      </c>
      <c r="E7" s="28">
        <f>(D7*10%)+D7</f>
        <v>0</v>
      </c>
      <c r="F7" s="28">
        <f>(E7*10%)+E7</f>
        <v>0</v>
      </c>
      <c r="G7" s="28">
        <f>(F7*10%)+F7</f>
        <v>0</v>
      </c>
    </row>
    <row r="8" spans="1:14">
      <c r="A8" s="27"/>
      <c r="B8" s="28"/>
      <c r="C8" s="28"/>
      <c r="D8" s="28"/>
      <c r="E8" s="28"/>
      <c r="F8" s="28"/>
      <c r="G8" s="28"/>
    </row>
    <row r="9" spans="1:14">
      <c r="A9" s="27"/>
      <c r="B9" s="28"/>
      <c r="C9" s="28"/>
      <c r="D9" s="28"/>
      <c r="E9" s="28"/>
      <c r="F9" s="28"/>
      <c r="G9" s="28"/>
    </row>
    <row r="10" spans="1:14">
      <c r="A10" s="27"/>
      <c r="B10" s="28"/>
      <c r="C10" s="28"/>
      <c r="D10" s="28"/>
      <c r="E10" s="28"/>
      <c r="F10" s="28"/>
      <c r="G10" s="28"/>
    </row>
    <row r="11" spans="1:14">
      <c r="A11" s="27"/>
      <c r="B11" s="28"/>
      <c r="C11" s="28"/>
      <c r="D11" s="28"/>
      <c r="E11" s="28"/>
      <c r="F11" s="28"/>
      <c r="G11" s="28"/>
    </row>
    <row r="12" spans="1:14">
      <c r="A12" s="27"/>
      <c r="B12" s="28"/>
      <c r="C12" s="28"/>
      <c r="D12" s="28"/>
      <c r="E12" s="28"/>
      <c r="F12" s="28"/>
      <c r="G12" s="28"/>
    </row>
    <row r="13" spans="1:14">
      <c r="A13" s="27"/>
      <c r="B13" s="28"/>
      <c r="C13" s="28"/>
      <c r="D13" s="28"/>
      <c r="E13" s="28"/>
      <c r="F13" s="28"/>
      <c r="G13" s="28"/>
    </row>
    <row r="14" spans="1:14">
      <c r="A14" s="27"/>
      <c r="B14" s="28"/>
      <c r="C14" s="28"/>
      <c r="D14" s="28"/>
      <c r="E14" s="28"/>
      <c r="F14" s="28"/>
      <c r="G14" s="28"/>
    </row>
    <row r="15" spans="1:14">
      <c r="A15" s="27"/>
      <c r="B15" s="28"/>
      <c r="C15" s="28"/>
      <c r="D15" s="28"/>
      <c r="E15" s="28"/>
      <c r="F15" s="28"/>
      <c r="G15" s="28"/>
    </row>
    <row r="16" spans="1:14">
      <c r="A16" s="27"/>
      <c r="B16" s="28"/>
      <c r="C16" s="28"/>
      <c r="D16" s="28"/>
      <c r="E16" s="28"/>
      <c r="F16" s="28"/>
      <c r="G16" s="28"/>
    </row>
    <row r="17" spans="1:7">
      <c r="A17" s="27"/>
      <c r="B17" s="28"/>
      <c r="C17" s="28"/>
      <c r="D17" s="28"/>
      <c r="E17" s="28"/>
      <c r="F17" s="28"/>
      <c r="G17" s="28"/>
    </row>
    <row r="18" spans="1:7">
      <c r="A18" s="27"/>
      <c r="B18" s="28"/>
      <c r="C18" s="28"/>
      <c r="D18" s="28"/>
      <c r="E18" s="28"/>
      <c r="F18" s="28"/>
      <c r="G18" s="28"/>
    </row>
    <row r="19" spans="1:7">
      <c r="A19" s="178" t="s">
        <v>18</v>
      </c>
      <c r="B19" s="179">
        <f t="shared" ref="B19:G19" si="0">SUM(B5:B18)</f>
        <v>508100</v>
      </c>
      <c r="C19" s="179">
        <f t="shared" si="0"/>
        <v>523343</v>
      </c>
      <c r="D19" s="179">
        <f t="shared" si="0"/>
        <v>539043.29</v>
      </c>
      <c r="E19" s="179">
        <f t="shared" si="0"/>
        <v>555214.58869999996</v>
      </c>
      <c r="F19" s="179">
        <f t="shared" si="0"/>
        <v>571871.02636100003</v>
      </c>
      <c r="G19" s="179">
        <f t="shared" si="0"/>
        <v>589027.15715182992</v>
      </c>
    </row>
    <row r="21" spans="1:7">
      <c r="A21" s="313" t="str">
        <f>'2.Rachunek zysków i start'!A7</f>
        <v xml:space="preserve">  Sprzedaż materiałów i towarów</v>
      </c>
      <c r="B21" s="314"/>
      <c r="C21" s="313"/>
      <c r="D21" s="314"/>
      <c r="E21" s="313"/>
      <c r="F21" s="314"/>
      <c r="G21" s="173"/>
    </row>
    <row r="22" spans="1:7" ht="17.399999999999999">
      <c r="A22" s="174"/>
      <c r="B22" s="175">
        <f>'0.Panel'!$B$3</f>
        <v>2024</v>
      </c>
      <c r="C22" s="175">
        <f>B22+1</f>
        <v>2025</v>
      </c>
      <c r="D22" s="175">
        <f>C22+1</f>
        <v>2026</v>
      </c>
      <c r="E22" s="175">
        <f>D22+1</f>
        <v>2027</v>
      </c>
      <c r="F22" s="175">
        <f>E22+1</f>
        <v>2028</v>
      </c>
      <c r="G22" s="175">
        <f>F22+1</f>
        <v>2029</v>
      </c>
    </row>
    <row r="23" spans="1:7">
      <c r="A23" s="27"/>
      <c r="B23" s="28"/>
      <c r="C23" s="28">
        <f>B23*110%</f>
        <v>0</v>
      </c>
      <c r="D23" s="28">
        <f>C23*110%</f>
        <v>0</v>
      </c>
      <c r="E23" s="28">
        <f>D23*110%</f>
        <v>0</v>
      </c>
      <c r="F23" s="28">
        <f>E23*110%</f>
        <v>0</v>
      </c>
      <c r="G23" s="28">
        <f>F23*110%</f>
        <v>0</v>
      </c>
    </row>
    <row r="24" spans="1:7">
      <c r="A24" s="27"/>
      <c r="B24" s="28"/>
      <c r="C24" s="28"/>
      <c r="D24" s="28"/>
      <c r="E24" s="28"/>
      <c r="F24" s="28"/>
      <c r="G24" s="28"/>
    </row>
    <row r="25" spans="1:7">
      <c r="A25" s="27"/>
      <c r="B25" s="28"/>
      <c r="C25" s="28"/>
      <c r="D25" s="28"/>
      <c r="E25" s="28"/>
      <c r="F25" s="28"/>
      <c r="G25" s="28"/>
    </row>
    <row r="26" spans="1:7">
      <c r="A26" s="27"/>
      <c r="B26" s="28"/>
      <c r="C26" s="28"/>
      <c r="D26" s="28"/>
      <c r="E26" s="28"/>
      <c r="F26" s="28"/>
      <c r="G26" s="28"/>
    </row>
    <row r="27" spans="1:7">
      <c r="A27" s="27"/>
      <c r="B27" s="28"/>
      <c r="C27" s="28"/>
      <c r="D27" s="28"/>
      <c r="E27" s="28"/>
      <c r="F27" s="28"/>
      <c r="G27" s="28"/>
    </row>
    <row r="28" spans="1:7">
      <c r="A28" s="27"/>
      <c r="B28" s="28"/>
      <c r="C28" s="28"/>
      <c r="D28" s="28"/>
      <c r="E28" s="28"/>
      <c r="F28" s="28"/>
      <c r="G28" s="28"/>
    </row>
    <row r="29" spans="1:7">
      <c r="A29" s="27"/>
      <c r="B29" s="28"/>
      <c r="C29" s="28"/>
      <c r="D29" s="28"/>
      <c r="E29" s="28"/>
      <c r="F29" s="28"/>
      <c r="G29" s="28"/>
    </row>
    <row r="30" spans="1:7">
      <c r="A30" s="27"/>
      <c r="B30" s="28"/>
      <c r="C30" s="28"/>
      <c r="D30" s="28"/>
      <c r="E30" s="28"/>
      <c r="F30" s="28"/>
      <c r="G30" s="28"/>
    </row>
    <row r="31" spans="1:7">
      <c r="A31" s="27"/>
      <c r="B31" s="28"/>
      <c r="C31" s="28"/>
      <c r="D31" s="28"/>
      <c r="E31" s="28"/>
      <c r="F31" s="28"/>
      <c r="G31" s="28"/>
    </row>
    <row r="32" spans="1:7">
      <c r="A32" s="27"/>
      <c r="B32" s="28"/>
      <c r="C32" s="28"/>
      <c r="D32" s="28"/>
      <c r="E32" s="28"/>
      <c r="F32" s="28"/>
      <c r="G32" s="28"/>
    </row>
    <row r="33" spans="1:7">
      <c r="A33" s="27"/>
      <c r="B33" s="28"/>
      <c r="C33" s="28"/>
      <c r="D33" s="28"/>
      <c r="E33" s="28"/>
      <c r="F33" s="28"/>
      <c r="G33" s="28"/>
    </row>
    <row r="34" spans="1:7">
      <c r="A34" s="27"/>
      <c r="B34" s="28"/>
      <c r="C34" s="28"/>
      <c r="D34" s="28"/>
      <c r="E34" s="28"/>
      <c r="F34" s="28"/>
      <c r="G34" s="28"/>
    </row>
    <row r="35" spans="1:7">
      <c r="A35" s="27"/>
      <c r="B35" s="28"/>
      <c r="C35" s="28"/>
      <c r="D35" s="28"/>
      <c r="E35" s="28"/>
      <c r="F35" s="28"/>
      <c r="G35" s="28"/>
    </row>
    <row r="36" spans="1:7">
      <c r="A36" s="27"/>
      <c r="B36" s="28"/>
      <c r="C36" s="28"/>
      <c r="D36" s="28"/>
      <c r="E36" s="28"/>
      <c r="F36" s="28"/>
      <c r="G36" s="28"/>
    </row>
    <row r="37" spans="1:7">
      <c r="A37" s="27"/>
      <c r="B37" s="28"/>
      <c r="C37" s="28"/>
      <c r="D37" s="28"/>
      <c r="E37" s="28"/>
      <c r="F37" s="28"/>
      <c r="G37" s="28"/>
    </row>
    <row r="38" spans="1:7">
      <c r="A38" s="178" t="s">
        <v>18</v>
      </c>
      <c r="B38" s="179">
        <f t="shared" ref="B38:G38" si="1">SUM(B23:B37)</f>
        <v>0</v>
      </c>
      <c r="C38" s="179">
        <f t="shared" si="1"/>
        <v>0</v>
      </c>
      <c r="D38" s="179">
        <f t="shared" si="1"/>
        <v>0</v>
      </c>
      <c r="E38" s="179">
        <f t="shared" si="1"/>
        <v>0</v>
      </c>
      <c r="F38" s="179">
        <f t="shared" si="1"/>
        <v>0</v>
      </c>
      <c r="G38" s="179">
        <f t="shared" si="1"/>
        <v>0</v>
      </c>
    </row>
    <row r="40" spans="1:7" s="194" customFormat="1">
      <c r="A40" s="313" t="str">
        <f>'2.Rachunek zysków i start'!A10</f>
        <v xml:space="preserve">  Pozostałe przychody (np.. Dotacje)</v>
      </c>
      <c r="B40" s="314"/>
      <c r="C40" s="313"/>
      <c r="D40" s="314"/>
      <c r="E40" s="313"/>
      <c r="F40" s="314"/>
      <c r="G40" s="173"/>
    </row>
    <row r="41" spans="1:7" ht="17.399999999999999">
      <c r="A41" s="174"/>
      <c r="B41" s="175">
        <f>'0.Panel'!$B$3</f>
        <v>2024</v>
      </c>
      <c r="C41" s="175">
        <f>B41+1</f>
        <v>2025</v>
      </c>
      <c r="D41" s="175">
        <f>C41+1</f>
        <v>2026</v>
      </c>
      <c r="E41" s="175">
        <f>D41+1</f>
        <v>2027</v>
      </c>
      <c r="F41" s="175">
        <f>E41+1</f>
        <v>2028</v>
      </c>
      <c r="G41" s="175">
        <f>F41+1</f>
        <v>2029</v>
      </c>
    </row>
    <row r="42" spans="1:7" ht="50.4">
      <c r="A42" s="198" t="str">
        <f>'9.Kredyt'!E3</f>
        <v>Dotacja z Urzędu Pracy na uruchomienie własnej działalności gospodarczej</v>
      </c>
      <c r="B42" s="199">
        <f>'9.Kredyt'!F3</f>
        <v>40000</v>
      </c>
      <c r="C42" s="199">
        <v>0</v>
      </c>
      <c r="D42" s="199">
        <v>0</v>
      </c>
      <c r="E42" s="199">
        <v>0</v>
      </c>
      <c r="F42" s="199">
        <v>0</v>
      </c>
      <c r="G42" s="199">
        <v>0</v>
      </c>
    </row>
    <row r="43" spans="1:7">
      <c r="A43" s="27"/>
      <c r="B43" s="28">
        <v>0</v>
      </c>
      <c r="C43" s="28">
        <f t="shared" ref="C43:G43" si="2">B43*110%</f>
        <v>0</v>
      </c>
      <c r="D43" s="28">
        <f t="shared" si="2"/>
        <v>0</v>
      </c>
      <c r="E43" s="28">
        <f t="shared" si="2"/>
        <v>0</v>
      </c>
      <c r="F43" s="28">
        <f t="shared" si="2"/>
        <v>0</v>
      </c>
      <c r="G43" s="28">
        <f t="shared" si="2"/>
        <v>0</v>
      </c>
    </row>
    <row r="44" spans="1:7">
      <c r="A44" s="27"/>
      <c r="B44" s="28"/>
      <c r="C44" s="28"/>
      <c r="D44" s="28"/>
      <c r="E44" s="28"/>
      <c r="F44" s="28"/>
      <c r="G44" s="28"/>
    </row>
    <row r="45" spans="1:7">
      <c r="A45" s="27"/>
      <c r="B45" s="28"/>
      <c r="C45" s="28"/>
      <c r="D45" s="28"/>
      <c r="E45" s="28"/>
      <c r="F45" s="28"/>
      <c r="G45" s="28"/>
    </row>
    <row r="46" spans="1:7">
      <c r="A46" s="27"/>
      <c r="B46" s="28"/>
      <c r="C46" s="28"/>
      <c r="D46" s="28"/>
      <c r="E46" s="28"/>
      <c r="F46" s="28"/>
      <c r="G46" s="28"/>
    </row>
    <row r="47" spans="1:7">
      <c r="A47" s="27"/>
      <c r="B47" s="28"/>
      <c r="C47" s="28"/>
      <c r="D47" s="28"/>
      <c r="E47" s="28"/>
      <c r="F47" s="28"/>
      <c r="G47" s="28"/>
    </row>
    <row r="48" spans="1:7">
      <c r="A48" s="27"/>
      <c r="B48" s="28"/>
      <c r="C48" s="28"/>
      <c r="D48" s="28"/>
      <c r="E48" s="28"/>
      <c r="F48" s="28"/>
      <c r="G48" s="28"/>
    </row>
    <row r="49" spans="1:7">
      <c r="A49" s="27"/>
      <c r="B49" s="28"/>
      <c r="C49" s="28"/>
      <c r="D49" s="28"/>
      <c r="E49" s="28"/>
      <c r="F49" s="28"/>
      <c r="G49" s="28"/>
    </row>
    <row r="50" spans="1:7">
      <c r="A50" s="27"/>
      <c r="B50" s="28"/>
      <c r="C50" s="28"/>
      <c r="D50" s="28"/>
      <c r="E50" s="28"/>
      <c r="F50" s="28"/>
      <c r="G50" s="28"/>
    </row>
    <row r="51" spans="1:7">
      <c r="A51" s="27"/>
      <c r="B51" s="28"/>
      <c r="C51" s="28"/>
      <c r="D51" s="28"/>
      <c r="E51" s="28"/>
      <c r="F51" s="28"/>
      <c r="G51" s="28"/>
    </row>
    <row r="52" spans="1:7">
      <c r="A52" s="27"/>
      <c r="B52" s="28"/>
      <c r="C52" s="28"/>
      <c r="D52" s="28"/>
      <c r="E52" s="28"/>
      <c r="F52" s="28"/>
      <c r="G52" s="28"/>
    </row>
    <row r="53" spans="1:7">
      <c r="A53" s="27"/>
      <c r="B53" s="28"/>
      <c r="C53" s="28"/>
      <c r="D53" s="28"/>
      <c r="E53" s="28"/>
      <c r="F53" s="28"/>
      <c r="G53" s="28"/>
    </row>
    <row r="54" spans="1:7">
      <c r="A54" s="27"/>
      <c r="B54" s="28"/>
      <c r="C54" s="28"/>
      <c r="D54" s="28"/>
      <c r="E54" s="28"/>
      <c r="F54" s="28"/>
      <c r="G54" s="28"/>
    </row>
    <row r="55" spans="1:7">
      <c r="A55" s="27"/>
      <c r="B55" s="28"/>
      <c r="C55" s="28"/>
      <c r="D55" s="28"/>
      <c r="E55" s="28"/>
      <c r="F55" s="28"/>
      <c r="G55" s="28"/>
    </row>
    <row r="56" spans="1:7">
      <c r="A56" s="27"/>
      <c r="B56" s="28"/>
      <c r="C56" s="28"/>
      <c r="D56" s="28"/>
      <c r="E56" s="28"/>
      <c r="F56" s="28"/>
      <c r="G56" s="28"/>
    </row>
    <row r="57" spans="1:7" s="197" customFormat="1">
      <c r="A57" s="195" t="s">
        <v>18</v>
      </c>
      <c r="B57" s="196">
        <f t="shared" ref="B57:G57" si="3">SUM(B42:B56)</f>
        <v>40000</v>
      </c>
      <c r="C57" s="196">
        <f t="shared" si="3"/>
        <v>0</v>
      </c>
      <c r="D57" s="196">
        <f t="shared" si="3"/>
        <v>0</v>
      </c>
      <c r="E57" s="196">
        <f t="shared" si="3"/>
        <v>0</v>
      </c>
      <c r="F57" s="196">
        <f t="shared" si="3"/>
        <v>0</v>
      </c>
      <c r="G57" s="196">
        <f t="shared" si="3"/>
        <v>0</v>
      </c>
    </row>
  </sheetData>
  <sheetProtection algorithmName="SHA-512" hashValue="rR2DFOJU+JNSndMNME3+/Z6eeD2D6SzXsRNzZi7FdoPC5EPIHnr3w62pJuasOEwl7582Iki5pQzYUeId0ZJedw==" saltValue="FrBXKOFRF07sdkJgJrYuzg==" spinCount="100000" sheet="1"/>
  <mergeCells count="13">
    <mergeCell ref="A21:B21"/>
    <mergeCell ref="C21:D21"/>
    <mergeCell ref="E21:F21"/>
    <mergeCell ref="A40:B40"/>
    <mergeCell ref="C40:D40"/>
    <mergeCell ref="E40:F40"/>
    <mergeCell ref="A1:F1"/>
    <mergeCell ref="A2:B2"/>
    <mergeCell ref="C2:D2"/>
    <mergeCell ref="E2:F2"/>
    <mergeCell ref="A3:B3"/>
    <mergeCell ref="C3:D3"/>
    <mergeCell ref="E3:F3"/>
  </mergeCells>
  <pageMargins left="0.75" right="0.75" top="1" bottom="1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Arkusz10">
    <tabColor rgb="FF00B050"/>
  </sheetPr>
  <dimension ref="A1:F7"/>
  <sheetViews>
    <sheetView workbookViewId="0">
      <selection sqref="A1:F1"/>
    </sheetView>
  </sheetViews>
  <sheetFormatPr defaultRowHeight="11.4"/>
  <cols>
    <col min="1" max="1" width="21.3984375" style="200" bestFit="1" customWidth="1"/>
    <col min="2" max="2" width="10.3984375" style="200" bestFit="1" customWidth="1"/>
    <col min="3" max="16384" width="8.796875" style="200"/>
  </cols>
  <sheetData>
    <row r="1" spans="1:6" ht="102.6" customHeight="1">
      <c r="A1" s="268" t="s">
        <v>402</v>
      </c>
      <c r="B1" s="269"/>
      <c r="C1" s="269"/>
      <c r="D1" s="269"/>
      <c r="E1" s="269"/>
      <c r="F1" s="269"/>
    </row>
    <row r="2" spans="1:6" ht="13.8">
      <c r="A2" s="337" t="s">
        <v>210</v>
      </c>
      <c r="B2" s="281"/>
      <c r="C2" s="281"/>
      <c r="D2" s="281"/>
      <c r="E2" s="281"/>
      <c r="F2" s="281"/>
    </row>
    <row r="3" spans="1:6" ht="13.8">
      <c r="A3" s="337" t="s">
        <v>203</v>
      </c>
      <c r="B3" s="281"/>
      <c r="C3" s="281"/>
      <c r="D3" s="281"/>
      <c r="E3" s="281"/>
      <c r="F3" s="281"/>
    </row>
    <row r="4" spans="1:6">
      <c r="B4" s="201">
        <f>'0.Panel'!B8</f>
        <v>100</v>
      </c>
    </row>
    <row r="6" spans="1:6" ht="13.8">
      <c r="A6" s="337" t="s">
        <v>199</v>
      </c>
      <c r="B6" s="281"/>
      <c r="C6" s="281"/>
      <c r="D6" s="281"/>
      <c r="E6" s="281"/>
      <c r="F6" s="281"/>
    </row>
    <row r="7" spans="1:6">
      <c r="B7" s="201">
        <f>'0.Panel'!B12</f>
        <v>250</v>
      </c>
    </row>
  </sheetData>
  <sheetProtection algorithmName="SHA-512" hashValue="S5pYcNx1r04h5CbMados+pFilr0aP73Bp/LE+wrmY543Ms6eo2sujB+ajptmeaHyX8EROc1CPqBZV8PdR1g6Ag==" saltValue="8qmPPaddR36hP60gPt61mg==" spinCount="100000" sheet="1" objects="1" scenarios="1"/>
  <mergeCells count="4">
    <mergeCell ref="A1:F1"/>
    <mergeCell ref="A2:F2"/>
    <mergeCell ref="A3:F3"/>
    <mergeCell ref="A6:F6"/>
  </mergeCells>
  <pageMargins left="0.7" right="0.7" top="0.75" bottom="0.75" header="0.3" footer="0.3"/>
  <legacy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Arkusz14">
    <tabColor rgb="FF00B050"/>
  </sheetPr>
  <dimension ref="A1:F31"/>
  <sheetViews>
    <sheetView zoomScaleNormal="100" workbookViewId="0">
      <selection activeCell="H16" sqref="H16"/>
    </sheetView>
  </sheetViews>
  <sheetFormatPr defaultRowHeight="16.8"/>
  <cols>
    <col min="1" max="1" width="59" style="24" customWidth="1"/>
    <col min="2" max="2" width="13.69921875" style="24" customWidth="1"/>
    <col min="3" max="3" width="22.09765625" style="24" customWidth="1"/>
    <col min="4" max="4" width="9.796875" style="24" bestFit="1" customWidth="1"/>
    <col min="5" max="5" width="8.296875" style="24" customWidth="1"/>
    <col min="6" max="6" width="10.796875" style="24" bestFit="1" customWidth="1"/>
    <col min="7" max="7" width="9.296875" style="24" bestFit="1" customWidth="1"/>
    <col min="8" max="16384" width="8.796875" style="24"/>
  </cols>
  <sheetData>
    <row r="1" spans="1:6" ht="57.6" customHeight="1">
      <c r="A1" s="268" t="s">
        <v>402</v>
      </c>
      <c r="B1" s="269"/>
      <c r="C1" s="269"/>
      <c r="D1" s="269"/>
      <c r="E1" s="269"/>
      <c r="F1" s="269"/>
    </row>
    <row r="2" spans="1:6">
      <c r="A2" s="282" t="s">
        <v>195</v>
      </c>
      <c r="B2" s="281"/>
      <c r="C2" s="281"/>
      <c r="D2" s="281"/>
      <c r="E2" s="281"/>
    </row>
    <row r="3" spans="1:6">
      <c r="A3" s="202" t="s">
        <v>196</v>
      </c>
    </row>
    <row r="4" spans="1:6">
      <c r="A4" s="141" t="s">
        <v>212</v>
      </c>
      <c r="B4" s="203">
        <f>'0.Panel'!B16</f>
        <v>35.000000000000007</v>
      </c>
      <c r="D4" s="19" t="s">
        <v>134</v>
      </c>
      <c r="E4" s="24" t="s">
        <v>133</v>
      </c>
    </row>
    <row r="5" spans="1:6" ht="17.399999999999999">
      <c r="A5" s="338" t="s">
        <v>237</v>
      </c>
      <c r="B5" s="284"/>
      <c r="C5" s="204">
        <f>'0.Panel'!B8</f>
        <v>100</v>
      </c>
      <c r="D5" s="19">
        <f>(C5-B4)/B4</f>
        <v>1.8571428571428568</v>
      </c>
      <c r="E5" s="19">
        <f>(C5-B4)/C5</f>
        <v>0.65</v>
      </c>
    </row>
    <row r="6" spans="1:6">
      <c r="A6" s="24" t="s">
        <v>238</v>
      </c>
    </row>
    <row r="7" spans="1:6">
      <c r="B7" s="24" t="s">
        <v>244</v>
      </c>
      <c r="C7" s="205">
        <f>C5*23/122</f>
        <v>18.852459016393443</v>
      </c>
    </row>
    <row r="8" spans="1:6">
      <c r="B8" s="24" t="s">
        <v>135</v>
      </c>
      <c r="C8" s="205">
        <f>C5*100/122</f>
        <v>81.967213114754102</v>
      </c>
    </row>
    <row r="9" spans="1:6">
      <c r="A9" s="202" t="s">
        <v>197</v>
      </c>
    </row>
    <row r="10" spans="1:6">
      <c r="A10" s="141" t="s">
        <v>212</v>
      </c>
      <c r="B10" s="203">
        <f>'0.Panel'!B19</f>
        <v>106.80000000000001</v>
      </c>
      <c r="D10" s="19" t="s">
        <v>134</v>
      </c>
      <c r="E10" s="24" t="s">
        <v>133</v>
      </c>
    </row>
    <row r="11" spans="1:6" ht="17.399999999999999">
      <c r="A11" s="338" t="s">
        <v>237</v>
      </c>
      <c r="B11" s="339"/>
      <c r="C11" s="204">
        <f>'0.Panel'!B12</f>
        <v>250</v>
      </c>
      <c r="D11" s="19">
        <f>(C11-B10)/B10</f>
        <v>1.3408239700374529</v>
      </c>
      <c r="E11" s="19">
        <f>(C11-B10)/C11</f>
        <v>0.57279999999999998</v>
      </c>
    </row>
    <row r="12" spans="1:6">
      <c r="A12" s="24" t="s">
        <v>238</v>
      </c>
      <c r="D12" s="19"/>
      <c r="E12" s="19"/>
      <c r="F12" s="19"/>
    </row>
    <row r="13" spans="1:6">
      <c r="B13" s="24" t="s">
        <v>244</v>
      </c>
      <c r="C13" s="205">
        <f>C11*23/122</f>
        <v>47.131147540983605</v>
      </c>
    </row>
    <row r="14" spans="1:6">
      <c r="B14" s="24" t="s">
        <v>135</v>
      </c>
      <c r="C14" s="205">
        <f>C11*100/122</f>
        <v>204.91803278688525</v>
      </c>
    </row>
    <row r="18" spans="1:5">
      <c r="A18" s="206" t="s">
        <v>245</v>
      </c>
    </row>
    <row r="19" spans="1:5">
      <c r="A19" s="24" t="s">
        <v>196</v>
      </c>
      <c r="D19" s="24" t="s">
        <v>134</v>
      </c>
      <c r="E19" s="24" t="s">
        <v>213</v>
      </c>
    </row>
    <row r="20" spans="1:5" ht="17.399999999999999">
      <c r="A20" s="187" t="s">
        <v>202</v>
      </c>
      <c r="C20" s="17">
        <f>'0.Panel'!B16+('0.Panel'!B16*20%)</f>
        <v>42.000000000000007</v>
      </c>
      <c r="D20" s="18">
        <f>(C20-B4)/B4</f>
        <v>0.19999999999999996</v>
      </c>
      <c r="E20" s="19">
        <f>(C20-B4)/C20</f>
        <v>0.16666666666666663</v>
      </c>
    </row>
    <row r="21" spans="1:5" ht="17.399999999999999">
      <c r="A21" s="187"/>
      <c r="C21" s="149"/>
      <c r="D21" s="19" t="s">
        <v>134</v>
      </c>
      <c r="E21" s="24" t="s">
        <v>233</v>
      </c>
    </row>
    <row r="22" spans="1:5" ht="17.399999999999999">
      <c r="A22" s="187" t="s">
        <v>214</v>
      </c>
      <c r="C22" s="149">
        <f>B4+20%*B4/(100%-20%)</f>
        <v>43.750000000000007</v>
      </c>
      <c r="D22" s="18">
        <f>(C22-B4)/B4</f>
        <v>0.24999999999999994</v>
      </c>
      <c r="E22" s="19">
        <f>(C22-B4)/C22</f>
        <v>0.19999999999999996</v>
      </c>
    </row>
    <row r="23" spans="1:5">
      <c r="D23" s="24" t="s">
        <v>215</v>
      </c>
      <c r="E23" s="19"/>
    </row>
    <row r="24" spans="1:5">
      <c r="C24" s="141" t="s">
        <v>216</v>
      </c>
      <c r="D24" s="20">
        <f>C20-B4</f>
        <v>7</v>
      </c>
    </row>
    <row r="25" spans="1:5">
      <c r="C25" s="141" t="s">
        <v>217</v>
      </c>
      <c r="D25" s="21">
        <f>C22-B4</f>
        <v>8.75</v>
      </c>
      <c r="E25" s="19"/>
    </row>
    <row r="26" spans="1:5">
      <c r="C26" s="141"/>
    </row>
    <row r="27" spans="1:5">
      <c r="A27" s="24" t="s">
        <v>197</v>
      </c>
      <c r="D27" s="19" t="s">
        <v>134</v>
      </c>
      <c r="E27" s="24" t="s">
        <v>133</v>
      </c>
    </row>
    <row r="28" spans="1:5" ht="17.399999999999999">
      <c r="A28" s="187" t="s">
        <v>232</v>
      </c>
      <c r="C28" s="17">
        <f>'0.Panel'!B19+('0.Panel'!B19*20%)</f>
        <v>128.16000000000003</v>
      </c>
      <c r="D28" s="19">
        <f>(C28-'0.Panel'!B19)/'0.Panel'!B19</f>
        <v>0.20000000000000009</v>
      </c>
      <c r="E28" s="19">
        <f>(C28-B10)/C28</f>
        <v>0.16666666666666674</v>
      </c>
    </row>
    <row r="29" spans="1:5">
      <c r="C29" s="141" t="s">
        <v>216</v>
      </c>
      <c r="D29" s="22">
        <f>('0.Panel'!B19*20%)/100%</f>
        <v>21.360000000000003</v>
      </c>
    </row>
    <row r="30" spans="1:5">
      <c r="C30" s="141" t="s">
        <v>217</v>
      </c>
      <c r="D30" s="23">
        <f>20%*'0.Panel'!B19/(100%-20%)</f>
        <v>26.700000000000003</v>
      </c>
      <c r="E30" s="19"/>
    </row>
    <row r="31" spans="1:5">
      <c r="D31" s="19"/>
    </row>
  </sheetData>
  <sheetProtection algorithmName="SHA-512" hashValue="eeT/IbxnEho0/x7TcKrWJWnrk8m4dC2OSEbhW5+imQY+hYPLiOhb3NQ/Yzb5q6OQTLlO81QthS3GT2zT80yhlg==" saltValue="gAa9mYxEDxo9JkPD/WYdxg==" spinCount="100000" sheet="1" scenarios="1"/>
  <mergeCells count="4">
    <mergeCell ref="A11:B11"/>
    <mergeCell ref="A5:B5"/>
    <mergeCell ref="A2:E2"/>
    <mergeCell ref="A1:F1"/>
  </mergeCells>
  <pageMargins left="0.7" right="0.7" top="0.75" bottom="0.75" header="0.3" footer="0.3"/>
  <pageSetup paperSize="9" orientation="portrait" horizontalDpi="4294967292" verticalDpi="1200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rkusz15">
    <tabColor rgb="FF00B0F0"/>
  </sheetPr>
  <dimension ref="A1:K70"/>
  <sheetViews>
    <sheetView workbookViewId="0">
      <selection activeCell="G14" sqref="G14"/>
    </sheetView>
  </sheetViews>
  <sheetFormatPr defaultRowHeight="16.8"/>
  <cols>
    <col min="1" max="1" width="34.09765625" style="85" customWidth="1"/>
    <col min="2" max="3" width="16.59765625" style="85" bestFit="1" customWidth="1"/>
    <col min="4" max="4" width="2.8984375" style="85" bestFit="1" customWidth="1"/>
    <col min="5" max="5" width="36.3984375" style="85" customWidth="1"/>
    <col min="6" max="6" width="25.296875" style="85" customWidth="1"/>
    <col min="7" max="7" width="29.09765625" style="85" bestFit="1" customWidth="1"/>
    <col min="8" max="8" width="23.69921875" style="85" bestFit="1" customWidth="1"/>
    <col min="9" max="9" width="18" style="85" bestFit="1" customWidth="1"/>
    <col min="10" max="10" width="42.59765625" style="85" bestFit="1" customWidth="1"/>
    <col min="11" max="11" width="18.8984375" style="85" bestFit="1" customWidth="1"/>
    <col min="12" max="16384" width="8.796875" style="85"/>
  </cols>
  <sheetData>
    <row r="1" spans="1:7" ht="68.400000000000006" customHeight="1">
      <c r="A1" s="268" t="s">
        <v>402</v>
      </c>
      <c r="B1" s="269"/>
      <c r="C1" s="269"/>
      <c r="D1" s="269"/>
      <c r="E1" s="269"/>
      <c r="F1" s="269"/>
    </row>
    <row r="2" spans="1:7" ht="17.399999999999999">
      <c r="A2" s="282" t="s">
        <v>204</v>
      </c>
      <c r="B2" s="283"/>
      <c r="C2" s="285"/>
      <c r="D2" s="285"/>
      <c r="E2" s="285"/>
      <c r="F2" s="285"/>
      <c r="G2" s="36" t="s">
        <v>295</v>
      </c>
    </row>
    <row r="3" spans="1:7" ht="50.4">
      <c r="B3" s="85" t="s">
        <v>370</v>
      </c>
      <c r="C3" s="207">
        <f>'6.1.Kwota na materiały'!B4</f>
        <v>483377.61599999998</v>
      </c>
      <c r="E3" s="134" t="s">
        <v>367</v>
      </c>
      <c r="F3" s="207">
        <f>'0.Panel'!B46</f>
        <v>40000</v>
      </c>
    </row>
    <row r="4" spans="1:7">
      <c r="B4" s="208" t="s">
        <v>368</v>
      </c>
      <c r="C4" s="209">
        <f>C3-B8</f>
        <v>149146.2693333333</v>
      </c>
      <c r="F4" s="210"/>
    </row>
    <row r="5" spans="1:7" ht="25.2" customHeight="1">
      <c r="A5" s="211" t="s">
        <v>398</v>
      </c>
      <c r="B5" s="234">
        <f>'6.Koszty początkowe'!C11-'6.Koszty początkowe'!C4</f>
        <v>186243.12</v>
      </c>
      <c r="E5" s="85" t="str">
        <f>'0.Panel'!A47</f>
        <v>Liczba miesięcy kredytowych</v>
      </c>
      <c r="F5" s="212">
        <f>'0.Panel'!B48</f>
        <v>2</v>
      </c>
    </row>
    <row r="6" spans="1:7" ht="22.2" customHeight="1">
      <c r="A6" s="211" t="s">
        <v>399</v>
      </c>
      <c r="B6" s="234">
        <f>'6.1.Kwota na materiały'!B5/12*(12-F5)</f>
        <v>179028.74666666667</v>
      </c>
      <c r="F6" s="212"/>
    </row>
    <row r="7" spans="1:7" ht="19.8" customHeight="1">
      <c r="A7" s="211" t="s">
        <v>400</v>
      </c>
      <c r="B7" s="234">
        <f>B5/12*(12-F5)</f>
        <v>155202.6</v>
      </c>
      <c r="F7" s="212"/>
    </row>
    <row r="8" spans="1:7">
      <c r="A8" s="211" t="s">
        <v>369</v>
      </c>
      <c r="B8" s="234">
        <f>B7+B6</f>
        <v>334231.34666666668</v>
      </c>
      <c r="E8" s="208" t="s">
        <v>308</v>
      </c>
      <c r="F8" s="213">
        <f>C4-F3</f>
        <v>109146.2693333333</v>
      </c>
    </row>
    <row r="9" spans="1:7">
      <c r="B9" s="207"/>
      <c r="E9" s="208" t="s">
        <v>239</v>
      </c>
      <c r="F9" s="214">
        <f>'0.Panel'!B50</f>
        <v>0.12</v>
      </c>
    </row>
    <row r="11" spans="1:7">
      <c r="B11" s="207"/>
    </row>
    <row r="12" spans="1:7">
      <c r="B12" s="207"/>
      <c r="E12" s="208" t="s">
        <v>371</v>
      </c>
      <c r="F12" s="208">
        <v>5</v>
      </c>
    </row>
    <row r="13" spans="1:7">
      <c r="E13" s="208" t="s">
        <v>372</v>
      </c>
      <c r="F13" s="208">
        <f>F12*12</f>
        <v>60</v>
      </c>
    </row>
    <row r="14" spans="1:7">
      <c r="B14" s="207"/>
      <c r="C14" s="207"/>
      <c r="E14" s="208" t="s">
        <v>373</v>
      </c>
      <c r="F14" s="215">
        <f>PMT(F9/12,F13,-F8)</f>
        <v>2427.8984781875315</v>
      </c>
    </row>
    <row r="15" spans="1:7">
      <c r="C15" s="207"/>
      <c r="E15" s="208" t="s">
        <v>374</v>
      </c>
      <c r="F15" s="215">
        <f>F18-F8</f>
        <v>36527.639357918582</v>
      </c>
      <c r="G15" s="138"/>
    </row>
    <row r="16" spans="1:7">
      <c r="E16" s="208" t="s">
        <v>375</v>
      </c>
      <c r="F16" s="216">
        <f>F8/(F12)</f>
        <v>21829.253866666659</v>
      </c>
      <c r="G16" s="138"/>
    </row>
    <row r="17" spans="5:11">
      <c r="E17" s="208" t="s">
        <v>376</v>
      </c>
      <c r="F17" s="216">
        <f>F15/F12</f>
        <v>7305.5278715837167</v>
      </c>
      <c r="J17" s="207"/>
      <c r="K17" s="207"/>
    </row>
    <row r="18" spans="5:11">
      <c r="E18" s="208" t="s">
        <v>377</v>
      </c>
      <c r="F18" s="215">
        <f>F14*F12*12</f>
        <v>145673.90869125188</v>
      </c>
    </row>
    <row r="19" spans="5:11">
      <c r="E19" s="210"/>
    </row>
    <row r="20" spans="5:11">
      <c r="E20" s="210"/>
    </row>
    <row r="21" spans="5:11">
      <c r="E21" s="210"/>
    </row>
    <row r="22" spans="5:11">
      <c r="E22" s="210"/>
    </row>
    <row r="23" spans="5:11">
      <c r="E23" s="210"/>
    </row>
    <row r="24" spans="5:11">
      <c r="E24" s="210"/>
    </row>
    <row r="25" spans="5:11">
      <c r="E25" s="210"/>
    </row>
    <row r="26" spans="5:11">
      <c r="E26" s="210"/>
    </row>
    <row r="27" spans="5:11">
      <c r="E27" s="210"/>
    </row>
    <row r="28" spans="5:11">
      <c r="E28" s="210"/>
    </row>
    <row r="29" spans="5:11">
      <c r="E29" s="210"/>
    </row>
    <row r="30" spans="5:11">
      <c r="E30" s="210"/>
    </row>
    <row r="31" spans="5:11">
      <c r="E31" s="210"/>
    </row>
    <row r="32" spans="5:11">
      <c r="E32" s="210"/>
    </row>
    <row r="33" spans="5:5">
      <c r="E33" s="210"/>
    </row>
    <row r="34" spans="5:5">
      <c r="E34" s="210"/>
    </row>
    <row r="35" spans="5:5">
      <c r="E35" s="210"/>
    </row>
    <row r="36" spans="5:5">
      <c r="E36" s="210"/>
    </row>
    <row r="37" spans="5:5">
      <c r="E37" s="210"/>
    </row>
    <row r="38" spans="5:5">
      <c r="E38" s="210"/>
    </row>
    <row r="39" spans="5:5">
      <c r="E39" s="210"/>
    </row>
    <row r="40" spans="5:5">
      <c r="E40" s="210"/>
    </row>
    <row r="41" spans="5:5">
      <c r="E41" s="210"/>
    </row>
    <row r="42" spans="5:5">
      <c r="E42" s="210"/>
    </row>
    <row r="43" spans="5:5">
      <c r="E43" s="210"/>
    </row>
    <row r="44" spans="5:5">
      <c r="E44" s="210"/>
    </row>
    <row r="45" spans="5:5">
      <c r="E45" s="210"/>
    </row>
    <row r="46" spans="5:5">
      <c r="E46" s="210"/>
    </row>
    <row r="47" spans="5:5">
      <c r="E47" s="210"/>
    </row>
    <row r="48" spans="5:5">
      <c r="E48" s="210"/>
    </row>
    <row r="49" spans="5:5">
      <c r="E49" s="210"/>
    </row>
    <row r="50" spans="5:5">
      <c r="E50" s="210"/>
    </row>
    <row r="51" spans="5:5">
      <c r="E51" s="210"/>
    </row>
    <row r="52" spans="5:5">
      <c r="E52" s="210"/>
    </row>
    <row r="53" spans="5:5">
      <c r="E53" s="210"/>
    </row>
    <row r="54" spans="5:5">
      <c r="E54" s="210"/>
    </row>
    <row r="55" spans="5:5">
      <c r="E55" s="210"/>
    </row>
    <row r="56" spans="5:5">
      <c r="E56" s="210"/>
    </row>
    <row r="57" spans="5:5">
      <c r="E57" s="210"/>
    </row>
    <row r="58" spans="5:5">
      <c r="E58" s="210"/>
    </row>
    <row r="59" spans="5:5">
      <c r="E59" s="210"/>
    </row>
    <row r="60" spans="5:5">
      <c r="E60" s="210"/>
    </row>
    <row r="61" spans="5:5">
      <c r="E61" s="210"/>
    </row>
    <row r="62" spans="5:5">
      <c r="E62" s="210"/>
    </row>
    <row r="63" spans="5:5">
      <c r="E63" s="210"/>
    </row>
    <row r="64" spans="5:5">
      <c r="E64" s="210"/>
    </row>
    <row r="65" spans="5:5">
      <c r="E65" s="210"/>
    </row>
    <row r="66" spans="5:5">
      <c r="E66" s="210"/>
    </row>
    <row r="67" spans="5:5">
      <c r="E67" s="210"/>
    </row>
    <row r="68" spans="5:5">
      <c r="E68" s="210"/>
    </row>
    <row r="69" spans="5:5">
      <c r="E69" s="210"/>
    </row>
    <row r="70" spans="5:5">
      <c r="E70" s="210"/>
    </row>
  </sheetData>
  <sheetProtection algorithmName="SHA-512" hashValue="+M4aoxau/vgCGgQ0tkcPnb3zuwg0BLk8zBBKmpNiMyQ94aQgTGPwhwJpk4a1Nj0Big1xSAQClIzy26suMv4l1Q==" saltValue="yoRFOPc2zQYdzWxPBGgfpw==" spinCount="100000" sheet="1" scenarios="1"/>
  <mergeCells count="2">
    <mergeCell ref="A2:F2"/>
    <mergeCell ref="A1:F1"/>
  </mergeCells>
  <pageMargins left="0.7" right="0.7" top="0.75" bottom="0.75" header="0.3" footer="0.3"/>
  <pageSetup paperSize="9" orientation="portrait" horizontalDpi="4294967292" verticalDpi="1200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Arkusz7">
    <tabColor rgb="FF00B0F0"/>
    <pageSetUpPr fitToPage="1"/>
  </sheetPr>
  <dimension ref="A1:I46"/>
  <sheetViews>
    <sheetView showGridLines="0" zoomScale="85" zoomScaleNormal="85" workbookViewId="0">
      <selection sqref="A1:F1"/>
    </sheetView>
  </sheetViews>
  <sheetFormatPr defaultColWidth="11" defaultRowHeight="15"/>
  <cols>
    <col min="1" max="1" width="29.59765625" style="56" bestFit="1" customWidth="1"/>
    <col min="2" max="2" width="54.5" style="56" bestFit="1" customWidth="1"/>
    <col min="3" max="8" width="11.796875" style="56" bestFit="1" customWidth="1"/>
    <col min="9" max="9" width="66.3984375" style="56" bestFit="1" customWidth="1"/>
    <col min="10" max="16384" width="11" style="56"/>
  </cols>
  <sheetData>
    <row r="1" spans="1:9" ht="67.2" customHeight="1">
      <c r="A1" s="268" t="s">
        <v>402</v>
      </c>
      <c r="B1" s="269"/>
      <c r="C1" s="269"/>
      <c r="D1" s="269"/>
      <c r="E1" s="269"/>
      <c r="F1" s="269"/>
    </row>
    <row r="2" spans="1:9" ht="15.6">
      <c r="A2" s="57" t="s">
        <v>23</v>
      </c>
    </row>
    <row r="3" spans="1:9">
      <c r="A3" s="56" t="s">
        <v>24</v>
      </c>
    </row>
    <row r="4" spans="1:9" ht="16.8">
      <c r="A4" s="56" t="s">
        <v>25</v>
      </c>
      <c r="H4" s="58" t="s">
        <v>26</v>
      </c>
      <c r="I4" s="14" t="s">
        <v>254</v>
      </c>
    </row>
    <row r="5" spans="1:9" ht="16.8">
      <c r="A5" s="344" t="s">
        <v>27</v>
      </c>
      <c r="B5" s="344"/>
      <c r="C5" s="344"/>
      <c r="D5" s="344"/>
      <c r="E5" s="344"/>
      <c r="F5" s="344"/>
      <c r="G5" s="344"/>
      <c r="H5" s="344"/>
      <c r="I5" s="14" t="s">
        <v>268</v>
      </c>
    </row>
    <row r="6" spans="1:9" ht="17.399999999999999">
      <c r="I6" s="91" t="s">
        <v>256</v>
      </c>
    </row>
    <row r="7" spans="1:9" ht="15.6">
      <c r="A7" s="59" t="s">
        <v>28</v>
      </c>
      <c r="B7" s="59" t="s">
        <v>29</v>
      </c>
      <c r="C7" s="345" t="s">
        <v>30</v>
      </c>
      <c r="D7" s="345"/>
      <c r="E7" s="345"/>
      <c r="F7" s="345"/>
      <c r="G7" s="345"/>
      <c r="H7" s="345"/>
      <c r="I7" s="25" t="s">
        <v>295</v>
      </c>
    </row>
    <row r="8" spans="1:9" ht="15.6">
      <c r="A8" s="59">
        <v>1</v>
      </c>
      <c r="B8" s="59">
        <v>2</v>
      </c>
      <c r="C8" s="60" t="str">
        <f>'2.Rachunek zysków i start'!C4</f>
        <v>31.12.2024</v>
      </c>
      <c r="D8" s="60" t="str">
        <f>'2.Rachunek zysków i start'!D4</f>
        <v>31.12.2025</v>
      </c>
      <c r="E8" s="60" t="str">
        <f>'2.Rachunek zysków i start'!E4</f>
        <v>31.12.2026</v>
      </c>
      <c r="F8" s="60" t="str">
        <f>'2.Rachunek zysków i start'!F4</f>
        <v>31.12.2027</v>
      </c>
      <c r="G8" s="60" t="str">
        <f>'2.Rachunek zysków i start'!G4</f>
        <v>31.12.2028</v>
      </c>
      <c r="H8" s="60" t="str">
        <f>'2.Rachunek zysków i start'!H4</f>
        <v>31.12.2029</v>
      </c>
    </row>
    <row r="9" spans="1:9" ht="15.6">
      <c r="A9" s="59" t="s">
        <v>32</v>
      </c>
      <c r="B9" s="61" t="s">
        <v>33</v>
      </c>
      <c r="C9" s="62">
        <f t="shared" ref="C9:H9" si="0">SUM(C10:C14)</f>
        <v>63040</v>
      </c>
      <c r="D9" s="62">
        <f t="shared" si="0"/>
        <v>53680</v>
      </c>
      <c r="E9" s="62">
        <f t="shared" si="0"/>
        <v>36320</v>
      </c>
      <c r="F9" s="62">
        <f t="shared" si="0"/>
        <v>18960</v>
      </c>
      <c r="G9" s="62">
        <f t="shared" si="0"/>
        <v>1600</v>
      </c>
      <c r="H9" s="62">
        <f t="shared" si="0"/>
        <v>13340</v>
      </c>
    </row>
    <row r="10" spans="1:9" ht="15.6">
      <c r="A10" s="59" t="s">
        <v>35</v>
      </c>
      <c r="B10" s="63" t="s">
        <v>36</v>
      </c>
      <c r="C10" s="64"/>
      <c r="D10" s="64"/>
      <c r="E10" s="64"/>
      <c r="F10" s="64"/>
      <c r="G10" s="64"/>
      <c r="H10" s="64"/>
    </row>
    <row r="11" spans="1:9" ht="15.6">
      <c r="A11" s="59" t="s">
        <v>38</v>
      </c>
      <c r="B11" s="63" t="s">
        <v>39</v>
      </c>
      <c r="C11" s="65">
        <f>'3.Środki trwałe'!B67</f>
        <v>63040</v>
      </c>
      <c r="D11" s="65">
        <f>'3.Środki trwałe'!C67</f>
        <v>53680</v>
      </c>
      <c r="E11" s="65">
        <f>'3.Środki trwałe'!D67</f>
        <v>36320</v>
      </c>
      <c r="F11" s="65">
        <f>'3.Środki trwałe'!E67</f>
        <v>18960</v>
      </c>
      <c r="G11" s="65">
        <f>'3.Środki trwałe'!F67</f>
        <v>1600</v>
      </c>
      <c r="H11" s="65">
        <f>'3.Środki trwałe'!G67</f>
        <v>13340</v>
      </c>
      <c r="I11" s="66"/>
    </row>
    <row r="12" spans="1:9" ht="15.6">
      <c r="A12" s="59" t="s">
        <v>41</v>
      </c>
      <c r="B12" s="63" t="s">
        <v>42</v>
      </c>
      <c r="C12" s="64">
        <v>0</v>
      </c>
      <c r="D12" s="64">
        <v>0</v>
      </c>
      <c r="E12" s="64">
        <v>0</v>
      </c>
      <c r="F12" s="64">
        <v>0</v>
      </c>
      <c r="G12" s="64">
        <v>0</v>
      </c>
      <c r="H12" s="64">
        <v>0</v>
      </c>
    </row>
    <row r="13" spans="1:9" ht="15.6">
      <c r="A13" s="59" t="s">
        <v>44</v>
      </c>
      <c r="B13" s="63" t="s">
        <v>45</v>
      </c>
      <c r="C13" s="64"/>
      <c r="D13" s="64"/>
      <c r="E13" s="64"/>
      <c r="F13" s="64"/>
      <c r="G13" s="64"/>
      <c r="H13" s="64"/>
    </row>
    <row r="14" spans="1:9" ht="15.6">
      <c r="A14" s="59" t="s">
        <v>46</v>
      </c>
      <c r="B14" s="63" t="s">
        <v>47</v>
      </c>
      <c r="C14" s="64"/>
      <c r="D14" s="64"/>
      <c r="E14" s="64"/>
      <c r="F14" s="64"/>
      <c r="G14" s="64"/>
      <c r="H14" s="64"/>
    </row>
    <row r="15" spans="1:9" ht="15.6">
      <c r="A15" s="59" t="s">
        <v>48</v>
      </c>
      <c r="B15" s="61" t="s">
        <v>49</v>
      </c>
      <c r="C15" s="62">
        <f t="shared" ref="C15:H15" si="1">SUM(C16+C17+C21)</f>
        <v>147112.18</v>
      </c>
      <c r="D15" s="62">
        <f t="shared" si="1"/>
        <v>104716.2</v>
      </c>
      <c r="E15" s="62">
        <f t="shared" si="1"/>
        <v>103234.1</v>
      </c>
      <c r="F15" s="62">
        <f t="shared" si="1"/>
        <v>105400.37</v>
      </c>
      <c r="G15" s="62">
        <f t="shared" si="1"/>
        <v>105271.11</v>
      </c>
      <c r="H15" s="62">
        <f t="shared" si="1"/>
        <v>91940.36</v>
      </c>
    </row>
    <row r="16" spans="1:9" ht="15.6">
      <c r="A16" s="59" t="s">
        <v>35</v>
      </c>
      <c r="B16" s="63" t="s">
        <v>269</v>
      </c>
      <c r="C16" s="64"/>
      <c r="D16" s="64"/>
      <c r="E16" s="64"/>
      <c r="F16" s="64"/>
      <c r="G16" s="64"/>
      <c r="H16" s="64"/>
    </row>
    <row r="17" spans="1:8">
      <c r="A17" s="346" t="s">
        <v>38</v>
      </c>
      <c r="B17" s="349" t="s">
        <v>52</v>
      </c>
      <c r="C17" s="341">
        <v>0</v>
      </c>
      <c r="D17" s="341">
        <v>0</v>
      </c>
      <c r="E17" s="341">
        <v>0</v>
      </c>
      <c r="F17" s="341">
        <v>0</v>
      </c>
      <c r="G17" s="341">
        <v>0</v>
      </c>
      <c r="H17" s="341">
        <v>0</v>
      </c>
    </row>
    <row r="18" spans="1:8">
      <c r="A18" s="347"/>
      <c r="B18" s="350"/>
      <c r="C18" s="342"/>
      <c r="D18" s="342"/>
      <c r="E18" s="342"/>
      <c r="F18" s="342"/>
      <c r="G18" s="342"/>
      <c r="H18" s="342"/>
    </row>
    <row r="19" spans="1:8">
      <c r="A19" s="347"/>
      <c r="B19" s="350"/>
      <c r="C19" s="342"/>
      <c r="D19" s="342"/>
      <c r="E19" s="342"/>
      <c r="F19" s="342"/>
      <c r="G19" s="342"/>
      <c r="H19" s="342"/>
    </row>
    <row r="20" spans="1:8">
      <c r="A20" s="348"/>
      <c r="B20" s="351"/>
      <c r="C20" s="343"/>
      <c r="D20" s="343"/>
      <c r="E20" s="343"/>
      <c r="F20" s="343"/>
      <c r="G20" s="343"/>
      <c r="H20" s="343"/>
    </row>
    <row r="21" spans="1:8" ht="15.6">
      <c r="A21" s="59" t="s">
        <v>41</v>
      </c>
      <c r="B21" s="63" t="s">
        <v>57</v>
      </c>
      <c r="C21" s="67">
        <f t="shared" ref="C21:H21" si="2">SUM(C22:C23)</f>
        <v>147112.18</v>
      </c>
      <c r="D21" s="67">
        <f t="shared" si="2"/>
        <v>104716.2</v>
      </c>
      <c r="E21" s="67">
        <f t="shared" si="2"/>
        <v>103234.1</v>
      </c>
      <c r="F21" s="67">
        <f t="shared" si="2"/>
        <v>105400.37</v>
      </c>
      <c r="G21" s="67">
        <f t="shared" si="2"/>
        <v>105271.11</v>
      </c>
      <c r="H21" s="67">
        <f t="shared" si="2"/>
        <v>91940.36</v>
      </c>
    </row>
    <row r="22" spans="1:8" ht="15.6">
      <c r="A22" s="59">
        <v>1</v>
      </c>
      <c r="B22" s="63" t="s">
        <v>59</v>
      </c>
      <c r="C22" s="68">
        <v>147112.18</v>
      </c>
      <c r="D22" s="68">
        <v>104716.2</v>
      </c>
      <c r="E22" s="68">
        <v>103234.1</v>
      </c>
      <c r="F22" s="68">
        <v>105400.37</v>
      </c>
      <c r="G22" s="68">
        <v>105271.11</v>
      </c>
      <c r="H22" s="68">
        <v>91940.36</v>
      </c>
    </row>
    <row r="23" spans="1:8" ht="15.6">
      <c r="A23" s="69">
        <v>2</v>
      </c>
      <c r="B23" s="70" t="s">
        <v>61</v>
      </c>
      <c r="C23" s="71"/>
      <c r="D23" s="71"/>
      <c r="E23" s="71"/>
      <c r="F23" s="71"/>
      <c r="G23" s="71"/>
      <c r="H23" s="71"/>
    </row>
    <row r="24" spans="1:8" ht="16.2" thickBot="1">
      <c r="A24" s="69" t="s">
        <v>63</v>
      </c>
      <c r="B24" s="72" t="s">
        <v>64</v>
      </c>
      <c r="C24" s="71"/>
      <c r="D24" s="71"/>
      <c r="E24" s="71"/>
      <c r="F24" s="71"/>
      <c r="G24" s="71"/>
      <c r="H24" s="71"/>
    </row>
    <row r="25" spans="1:8" ht="16.8" thickTop="1" thickBot="1">
      <c r="A25" s="73"/>
      <c r="B25" s="74" t="s">
        <v>66</v>
      </c>
      <c r="C25" s="75">
        <f t="shared" ref="C25:H25" si="3">SUM(C9+C15+C24)</f>
        <v>210152.18</v>
      </c>
      <c r="D25" s="75">
        <f t="shared" si="3"/>
        <v>158396.20000000001</v>
      </c>
      <c r="E25" s="75">
        <f t="shared" si="3"/>
        <v>139554.1</v>
      </c>
      <c r="F25" s="75">
        <f t="shared" si="3"/>
        <v>124360.37</v>
      </c>
      <c r="G25" s="75">
        <f t="shared" si="3"/>
        <v>106871.11</v>
      </c>
      <c r="H25" s="75">
        <f t="shared" si="3"/>
        <v>105280.36</v>
      </c>
    </row>
    <row r="26" spans="1:8" ht="15.6" thickTop="1">
      <c r="A26" s="58"/>
    </row>
    <row r="27" spans="1:8">
      <c r="A27" s="76"/>
    </row>
    <row r="28" spans="1:8" ht="15.6">
      <c r="A28" s="59" t="s">
        <v>28</v>
      </c>
      <c r="B28" s="59" t="s">
        <v>31</v>
      </c>
      <c r="C28" s="340" t="s">
        <v>30</v>
      </c>
      <c r="D28" s="340"/>
      <c r="E28" s="340"/>
      <c r="F28" s="340"/>
      <c r="G28" s="340"/>
      <c r="H28" s="340"/>
    </row>
    <row r="29" spans="1:8" ht="15.6">
      <c r="A29" s="59">
        <v>1</v>
      </c>
      <c r="B29" s="59">
        <v>2</v>
      </c>
      <c r="C29" s="60" t="str">
        <f t="shared" ref="C29:H29" si="4">C8</f>
        <v>31.12.2024</v>
      </c>
      <c r="D29" s="60" t="str">
        <f t="shared" si="4"/>
        <v>31.12.2025</v>
      </c>
      <c r="E29" s="60" t="str">
        <f t="shared" si="4"/>
        <v>31.12.2026</v>
      </c>
      <c r="F29" s="60" t="str">
        <f t="shared" si="4"/>
        <v>31.12.2027</v>
      </c>
      <c r="G29" s="60" t="str">
        <f t="shared" si="4"/>
        <v>31.12.2028</v>
      </c>
      <c r="H29" s="60" t="str">
        <f t="shared" si="4"/>
        <v>31.12.2029</v>
      </c>
    </row>
    <row r="30" spans="1:8" ht="15.6">
      <c r="A30" s="59" t="s">
        <v>32</v>
      </c>
      <c r="B30" s="61" t="s">
        <v>34</v>
      </c>
      <c r="C30" s="62">
        <f t="shared" ref="C30:H30" si="5">SUM(C31:C33)</f>
        <v>101005.9114640172</v>
      </c>
      <c r="D30" s="62">
        <f t="shared" si="5"/>
        <v>71079.181016017217</v>
      </c>
      <c r="E30" s="62">
        <f t="shared" si="5"/>
        <v>74066.34273009724</v>
      </c>
      <c r="F30" s="62">
        <f t="shared" si="5"/>
        <v>80701.866963740409</v>
      </c>
      <c r="G30" s="62">
        <f t="shared" si="5"/>
        <v>85041.857047259327</v>
      </c>
      <c r="H30" s="62">
        <f t="shared" si="5"/>
        <v>105280.36198906484</v>
      </c>
    </row>
    <row r="31" spans="1:8" ht="15.6">
      <c r="A31" s="59" t="s">
        <v>35</v>
      </c>
      <c r="B31" s="63" t="s">
        <v>37</v>
      </c>
      <c r="C31" s="64"/>
      <c r="D31" s="64"/>
      <c r="E31" s="64"/>
      <c r="F31" s="64"/>
      <c r="G31" s="64"/>
      <c r="H31" s="64"/>
    </row>
    <row r="32" spans="1:8" ht="15.6">
      <c r="A32" s="59" t="s">
        <v>38</v>
      </c>
      <c r="B32" s="63" t="s">
        <v>40</v>
      </c>
      <c r="C32" s="64"/>
      <c r="D32" s="64"/>
      <c r="E32" s="64"/>
      <c r="F32" s="64"/>
      <c r="G32" s="64"/>
      <c r="H32" s="64"/>
    </row>
    <row r="33" spans="1:8" ht="15.6">
      <c r="A33" s="59" t="s">
        <v>41</v>
      </c>
      <c r="B33" s="63" t="s">
        <v>43</v>
      </c>
      <c r="C33" s="67">
        <f>'2.Rachunek zysków i start'!C22</f>
        <v>101005.9114640172</v>
      </c>
      <c r="D33" s="67">
        <f>'2.Rachunek zysków i start'!D22</f>
        <v>71079.181016017217</v>
      </c>
      <c r="E33" s="67">
        <f>'2.Rachunek zysków i start'!E22</f>
        <v>74066.34273009724</v>
      </c>
      <c r="F33" s="67">
        <f>'2.Rachunek zysków i start'!F22</f>
        <v>80701.866963740409</v>
      </c>
      <c r="G33" s="67">
        <f>'2.Rachunek zysków i start'!G22</f>
        <v>85041.857047259327</v>
      </c>
      <c r="H33" s="67">
        <f>'2.Rachunek zysków i start'!H22</f>
        <v>105280.36198906484</v>
      </c>
    </row>
    <row r="34" spans="1:8" ht="15.6">
      <c r="A34" s="59" t="s">
        <v>48</v>
      </c>
      <c r="B34" s="61" t="s">
        <v>50</v>
      </c>
      <c r="C34" s="62">
        <f t="shared" ref="C34:G34" si="6">SUM(C35+C36+C40+C41)</f>
        <v>109146.2693333333</v>
      </c>
      <c r="D34" s="62">
        <f t="shared" si="6"/>
        <v>87317.015466666635</v>
      </c>
      <c r="E34" s="62">
        <f t="shared" si="6"/>
        <v>65487.761599999983</v>
      </c>
      <c r="F34" s="62">
        <f t="shared" si="6"/>
        <v>43658.507733333325</v>
      </c>
      <c r="G34" s="62">
        <f t="shared" si="6"/>
        <v>21829.253866666659</v>
      </c>
      <c r="H34" s="62">
        <v>0</v>
      </c>
    </row>
    <row r="35" spans="1:8" ht="15.6">
      <c r="A35" s="59" t="s">
        <v>35</v>
      </c>
      <c r="B35" s="63" t="s">
        <v>51</v>
      </c>
      <c r="C35" s="64">
        <f>'9.Kredyt'!$F$8-'9.Kredyt'!$F$16</f>
        <v>87317.015466666635</v>
      </c>
      <c r="D35" s="64">
        <f>'9.Kredyt'!$F$8-2*'9.Kredyt'!$F$16</f>
        <v>65487.761599999983</v>
      </c>
      <c r="E35" s="64">
        <f>'9.Kredyt'!$F$8-3*'9.Kredyt'!$F$16</f>
        <v>43658.507733333325</v>
      </c>
      <c r="F35" s="64">
        <f>'9.Kredyt'!$F$8-4*'9.Kredyt'!$F$16</f>
        <v>21829.253866666666</v>
      </c>
      <c r="G35" s="64">
        <f>'9.Kredyt'!$F$8-5*'9.Kredyt'!$F$16</f>
        <v>0</v>
      </c>
      <c r="H35" s="64">
        <v>0</v>
      </c>
    </row>
    <row r="36" spans="1:8" ht="15.6">
      <c r="A36" s="59" t="s">
        <v>38</v>
      </c>
      <c r="B36" s="63" t="s">
        <v>53</v>
      </c>
      <c r="C36" s="67">
        <f t="shared" ref="C36:G36" si="7">SUM(C37:C39)</f>
        <v>21829.253866666659</v>
      </c>
      <c r="D36" s="67">
        <f t="shared" si="7"/>
        <v>21829.253866666659</v>
      </c>
      <c r="E36" s="67">
        <f t="shared" si="7"/>
        <v>21829.253866666659</v>
      </c>
      <c r="F36" s="67">
        <f t="shared" si="7"/>
        <v>21829.253866666659</v>
      </c>
      <c r="G36" s="67">
        <f t="shared" si="7"/>
        <v>21829.253866666659</v>
      </c>
      <c r="H36" s="67">
        <v>0</v>
      </c>
    </row>
    <row r="37" spans="1:8" ht="15.6">
      <c r="A37" s="59">
        <v>1</v>
      </c>
      <c r="B37" s="63" t="s">
        <v>54</v>
      </c>
      <c r="C37" s="64">
        <f>'9.Kredyt'!$F$16</f>
        <v>21829.253866666659</v>
      </c>
      <c r="D37" s="64">
        <f>'9.Kredyt'!$F$16</f>
        <v>21829.253866666659</v>
      </c>
      <c r="E37" s="64">
        <f>'9.Kredyt'!$F$16</f>
        <v>21829.253866666659</v>
      </c>
      <c r="F37" s="64">
        <f>'9.Kredyt'!$F$16</f>
        <v>21829.253866666659</v>
      </c>
      <c r="G37" s="64">
        <f>'9.Kredyt'!$F$16</f>
        <v>21829.253866666659</v>
      </c>
      <c r="H37" s="64">
        <v>0</v>
      </c>
    </row>
    <row r="38" spans="1:8" ht="15.6">
      <c r="A38" s="59">
        <v>2</v>
      </c>
      <c r="B38" s="63" t="s">
        <v>55</v>
      </c>
      <c r="C38" s="64">
        <v>0</v>
      </c>
      <c r="D38" s="64">
        <v>0</v>
      </c>
      <c r="E38" s="64">
        <v>0</v>
      </c>
      <c r="F38" s="64">
        <v>0</v>
      </c>
      <c r="G38" s="64">
        <v>0</v>
      </c>
      <c r="H38" s="64">
        <v>0</v>
      </c>
    </row>
    <row r="39" spans="1:8" ht="15.6">
      <c r="A39" s="69">
        <v>3</v>
      </c>
      <c r="B39" s="70" t="s">
        <v>56</v>
      </c>
      <c r="C39" s="77"/>
      <c r="D39" s="77"/>
      <c r="E39" s="77"/>
      <c r="F39" s="77"/>
      <c r="G39" s="77"/>
      <c r="H39" s="77"/>
    </row>
    <row r="40" spans="1:8" ht="15.6">
      <c r="A40" s="69" t="s">
        <v>41</v>
      </c>
      <c r="B40" s="70" t="s">
        <v>58</v>
      </c>
      <c r="C40" s="71"/>
      <c r="D40" s="71"/>
      <c r="E40" s="71"/>
      <c r="F40" s="71"/>
      <c r="G40" s="71"/>
      <c r="H40" s="71"/>
    </row>
    <row r="41" spans="1:8" ht="15.6">
      <c r="A41" s="69" t="s">
        <v>44</v>
      </c>
      <c r="B41" s="70" t="s">
        <v>60</v>
      </c>
      <c r="C41" s="78">
        <f t="shared" ref="C41:H41" si="8">SUM(C42:C43)</f>
        <v>0</v>
      </c>
      <c r="D41" s="78">
        <f t="shared" si="8"/>
        <v>0</v>
      </c>
      <c r="E41" s="78">
        <f t="shared" si="8"/>
        <v>0</v>
      </c>
      <c r="F41" s="78">
        <f t="shared" si="8"/>
        <v>0</v>
      </c>
      <c r="G41" s="78">
        <f t="shared" si="8"/>
        <v>0</v>
      </c>
      <c r="H41" s="78">
        <f t="shared" si="8"/>
        <v>0</v>
      </c>
    </row>
    <row r="42" spans="1:8" ht="15.6">
      <c r="A42" s="69">
        <v>1</v>
      </c>
      <c r="B42" s="70" t="s">
        <v>62</v>
      </c>
      <c r="C42" s="71"/>
      <c r="D42" s="71"/>
      <c r="E42" s="71"/>
      <c r="F42" s="71"/>
      <c r="G42" s="71"/>
      <c r="H42" s="71"/>
    </row>
    <row r="43" spans="1:8" ht="16.2" thickBot="1">
      <c r="A43" s="69">
        <v>2</v>
      </c>
      <c r="B43" s="70" t="s">
        <v>65</v>
      </c>
      <c r="C43" s="71"/>
      <c r="D43" s="71"/>
      <c r="E43" s="71"/>
      <c r="F43" s="71"/>
      <c r="G43" s="71"/>
      <c r="H43" s="71"/>
    </row>
    <row r="44" spans="1:8" ht="16.8" thickTop="1" thickBot="1">
      <c r="A44" s="79"/>
      <c r="B44" s="74" t="s">
        <v>66</v>
      </c>
      <c r="C44" s="75">
        <f t="shared" ref="C44:H44" si="9">SUM(C30+C34)</f>
        <v>210152.18079735051</v>
      </c>
      <c r="D44" s="75">
        <f t="shared" si="9"/>
        <v>158396.19648268385</v>
      </c>
      <c r="E44" s="75">
        <f t="shared" si="9"/>
        <v>139554.10433009721</v>
      </c>
      <c r="F44" s="75">
        <f t="shared" si="9"/>
        <v>124360.37469707374</v>
      </c>
      <c r="G44" s="75">
        <f t="shared" si="9"/>
        <v>106871.11091392598</v>
      </c>
      <c r="H44" s="80">
        <f t="shared" si="9"/>
        <v>105280.36198906484</v>
      </c>
    </row>
    <row r="45" spans="1:8" ht="15.6" thickTop="1"/>
    <row r="46" spans="1:8">
      <c r="C46" s="81">
        <f t="shared" ref="C46:H46" si="10">C44-C25</f>
        <v>7.9735051258467138E-4</v>
      </c>
      <c r="D46" s="81">
        <f t="shared" si="10"/>
        <v>-3.5173161595594138E-3</v>
      </c>
      <c r="E46" s="81">
        <f t="shared" si="10"/>
        <v>4.3300972029101104E-3</v>
      </c>
      <c r="F46" s="81">
        <f t="shared" si="10"/>
        <v>4.6970737457741052E-3</v>
      </c>
      <c r="G46" s="81">
        <f t="shared" si="10"/>
        <v>9.1392597823869437E-4</v>
      </c>
      <c r="H46" s="81">
        <f t="shared" si="10"/>
        <v>1.9890648400178179E-3</v>
      </c>
    </row>
  </sheetData>
  <sheetProtection algorithmName="SHA-512" hashValue="2mJ8MuStKZZ3bn2cp/bxpbhM1fiE/NX9y4VakZsAVH9M+au+17cbzTFRkKSjvtJZqfpNnF4nX+n15/cQSBklKw==" saltValue="JOlACyo2FjG5baFyhLdQkg==" spinCount="100000" sheet="1" objects="1" scenarios="1"/>
  <mergeCells count="12">
    <mergeCell ref="A1:F1"/>
    <mergeCell ref="A5:H5"/>
    <mergeCell ref="C7:H7"/>
    <mergeCell ref="A17:A20"/>
    <mergeCell ref="B17:B20"/>
    <mergeCell ref="C17:C20"/>
    <mergeCell ref="H17:H20"/>
    <mergeCell ref="C28:H28"/>
    <mergeCell ref="D17:D20"/>
    <mergeCell ref="E17:E20"/>
    <mergeCell ref="F17:F20"/>
    <mergeCell ref="G17:G20"/>
  </mergeCells>
  <printOptions horizontalCentered="1" verticalCentered="1"/>
  <pageMargins left="0.78740157480314965" right="0.78740157480314965" top="0.98425196850393704" bottom="0.98425196850393704" header="0.51181102362204722" footer="0.51181102362204722"/>
  <pageSetup paperSize="9" scale="85" orientation="landscape" horizontalDpi="300" verticalDpi="300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Arkusz18">
    <tabColor rgb="FF00B0F0"/>
  </sheetPr>
  <dimension ref="A1:G15"/>
  <sheetViews>
    <sheetView zoomScale="85" zoomScaleNormal="85" workbookViewId="0">
      <selection sqref="A1:F1"/>
    </sheetView>
  </sheetViews>
  <sheetFormatPr defaultRowHeight="16.8"/>
  <cols>
    <col min="1" max="1" width="8.796875" style="85"/>
    <col min="2" max="2" width="36.796875" style="85" customWidth="1"/>
    <col min="3" max="4" width="14.69921875" style="85" customWidth="1"/>
    <col min="5" max="16384" width="8.796875" style="85"/>
  </cols>
  <sheetData>
    <row r="1" spans="1:7" ht="94.8" customHeight="1">
      <c r="A1" s="268" t="s">
        <v>402</v>
      </c>
      <c r="B1" s="281"/>
      <c r="C1" s="281"/>
      <c r="D1" s="281"/>
      <c r="E1" s="281"/>
      <c r="F1" s="281"/>
    </row>
    <row r="2" spans="1:7">
      <c r="A2" s="282" t="s">
        <v>235</v>
      </c>
      <c r="B2" s="352"/>
      <c r="C2" s="352"/>
      <c r="D2" s="352"/>
      <c r="E2" s="352"/>
      <c r="F2" s="352"/>
    </row>
    <row r="3" spans="1:7" ht="34.200000000000003">
      <c r="A3" s="134" t="s">
        <v>167</v>
      </c>
      <c r="B3" s="85" t="s">
        <v>166</v>
      </c>
      <c r="C3" s="134" t="s">
        <v>169</v>
      </c>
      <c r="D3" s="134" t="s">
        <v>168</v>
      </c>
      <c r="G3" s="36" t="s">
        <v>295</v>
      </c>
    </row>
    <row r="4" spans="1:7">
      <c r="A4" s="51">
        <v>1</v>
      </c>
      <c r="B4" s="51" t="s">
        <v>178</v>
      </c>
      <c r="C4" s="84">
        <v>45483</v>
      </c>
      <c r="D4" s="51">
        <v>14</v>
      </c>
      <c r="F4" s="210"/>
    </row>
    <row r="5" spans="1:7">
      <c r="A5" s="51">
        <v>2</v>
      </c>
      <c r="B5" s="51" t="s">
        <v>170</v>
      </c>
      <c r="C5" s="84">
        <v>45498</v>
      </c>
      <c r="D5" s="51">
        <v>3</v>
      </c>
    </row>
    <row r="6" spans="1:7">
      <c r="A6" s="51">
        <v>3</v>
      </c>
      <c r="B6" s="51" t="s">
        <v>171</v>
      </c>
      <c r="C6" s="84">
        <v>45500</v>
      </c>
      <c r="D6" s="51">
        <v>5</v>
      </c>
      <c r="F6" s="210"/>
    </row>
    <row r="7" spans="1:7">
      <c r="A7" s="51">
        <v>4</v>
      </c>
      <c r="B7" s="51" t="s">
        <v>172</v>
      </c>
      <c r="C7" s="84">
        <v>45504</v>
      </c>
      <c r="D7" s="51">
        <v>3</v>
      </c>
    </row>
    <row r="8" spans="1:7">
      <c r="A8" s="51">
        <v>5</v>
      </c>
      <c r="B8" s="51" t="s">
        <v>173</v>
      </c>
      <c r="C8" s="84">
        <v>45505</v>
      </c>
      <c r="D8" s="51">
        <v>4</v>
      </c>
    </row>
    <row r="9" spans="1:7">
      <c r="A9" s="51">
        <v>6</v>
      </c>
      <c r="B9" s="51" t="s">
        <v>174</v>
      </c>
      <c r="C9" s="84">
        <v>45511</v>
      </c>
      <c r="D9" s="51">
        <v>2</v>
      </c>
    </row>
    <row r="10" spans="1:7">
      <c r="A10" s="51">
        <v>7</v>
      </c>
      <c r="B10" s="51" t="s">
        <v>179</v>
      </c>
      <c r="C10" s="84">
        <v>45514</v>
      </c>
      <c r="D10" s="51">
        <v>2</v>
      </c>
    </row>
    <row r="11" spans="1:7">
      <c r="A11" s="51">
        <v>8</v>
      </c>
      <c r="B11" s="51" t="s">
        <v>177</v>
      </c>
      <c r="C11" s="84">
        <v>45518</v>
      </c>
      <c r="D11" s="51">
        <v>3</v>
      </c>
    </row>
    <row r="12" spans="1:7">
      <c r="A12" s="51">
        <v>9</v>
      </c>
      <c r="B12" s="51" t="s">
        <v>175</v>
      </c>
      <c r="C12" s="84">
        <v>45522</v>
      </c>
      <c r="D12" s="51">
        <v>3</v>
      </c>
    </row>
    <row r="13" spans="1:7">
      <c r="A13" s="51">
        <v>10</v>
      </c>
      <c r="B13" s="51" t="s">
        <v>176</v>
      </c>
      <c r="C13" s="84">
        <v>45526</v>
      </c>
      <c r="D13" s="51">
        <v>4</v>
      </c>
    </row>
    <row r="15" spans="1:7">
      <c r="C15" s="132"/>
    </row>
  </sheetData>
  <sheetProtection algorithmName="SHA-512" hashValue="IbwH1uzeZnvpEN9v0Dn0bg/Eo2EUeNKHEtBBLzktcsO7sv7oF2nPDRZVFs96GIWBwLa36kvBdhTh10i+/tcdSQ==" saltValue="QdhLrRjJmV7Pw+vNLcfzHA==" spinCount="100000" sheet="1" objects="1" scenarios="1"/>
  <mergeCells count="2">
    <mergeCell ref="A1:F1"/>
    <mergeCell ref="A2:F2"/>
  </mergeCells>
  <pageMargins left="0.7" right="0.7" top="0.75" bottom="0.75" header="0.3" footer="0.3"/>
  <pageSetup paperSize="9" orientation="portrait" horizontalDpi="4294967293" verticalDpi="4294967293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Arkusz16">
    <tabColor rgb="FF00B050"/>
  </sheetPr>
  <dimension ref="A1:F15"/>
  <sheetViews>
    <sheetView workbookViewId="0">
      <selection sqref="A1:F1"/>
    </sheetView>
  </sheetViews>
  <sheetFormatPr defaultRowHeight="16.8"/>
  <cols>
    <col min="1" max="1" width="13.5" style="24" customWidth="1"/>
    <col min="2" max="2" width="14.296875" style="24" customWidth="1"/>
    <col min="3" max="4" width="8.796875" style="24"/>
    <col min="5" max="5" width="29.3984375" style="24" customWidth="1"/>
    <col min="6" max="6" width="21.19921875" style="24" customWidth="1"/>
    <col min="7" max="16384" width="8.796875" style="24"/>
  </cols>
  <sheetData>
    <row r="1" spans="1:6" ht="73.8" customHeight="1">
      <c r="A1" s="268" t="s">
        <v>402</v>
      </c>
      <c r="B1" s="269"/>
      <c r="C1" s="269"/>
      <c r="D1" s="269"/>
      <c r="E1" s="269"/>
      <c r="F1" s="269"/>
    </row>
    <row r="2" spans="1:6">
      <c r="A2" s="282" t="s">
        <v>205</v>
      </c>
      <c r="B2" s="352"/>
      <c r="C2" s="352"/>
      <c r="D2" s="352"/>
      <c r="E2" s="352"/>
    </row>
    <row r="3" spans="1:6" ht="17.399999999999999">
      <c r="A3" s="217" t="s">
        <v>161</v>
      </c>
      <c r="B3" s="82">
        <f>'2.Rachunek zysków i start'!C22/'2.Rachunek zysków i start'!C5</f>
        <v>0.18428372826859551</v>
      </c>
    </row>
    <row r="5" spans="1:6">
      <c r="A5" s="135" t="s">
        <v>162</v>
      </c>
      <c r="B5" s="136"/>
      <c r="C5" s="136"/>
      <c r="D5" s="136"/>
      <c r="E5" s="136"/>
    </row>
    <row r="6" spans="1:6" ht="17.399999999999999">
      <c r="A6" s="217" t="s">
        <v>163</v>
      </c>
      <c r="B6" s="83">
        <f>'10.Bilans'!C44-'10.Bilans'!C9</f>
        <v>147112.18079735051</v>
      </c>
    </row>
    <row r="8" spans="1:6">
      <c r="A8" s="135" t="s">
        <v>206</v>
      </c>
      <c r="B8" s="136"/>
      <c r="C8" s="136"/>
      <c r="D8" s="136"/>
      <c r="E8" s="136"/>
    </row>
    <row r="9" spans="1:6" ht="17.399999999999999">
      <c r="A9" s="217" t="s">
        <v>164</v>
      </c>
      <c r="B9" s="82">
        <f>'10.Bilans'!C30/'10.Bilans'!C25</f>
        <v>0.48063223262312676</v>
      </c>
      <c r="C9" s="354"/>
      <c r="D9" s="354"/>
      <c r="E9" s="354"/>
      <c r="F9" s="354"/>
    </row>
    <row r="10" spans="1:6">
      <c r="C10" s="354"/>
      <c r="D10" s="354"/>
      <c r="E10" s="354"/>
      <c r="F10" s="354"/>
    </row>
    <row r="11" spans="1:6">
      <c r="A11" s="282" t="s">
        <v>282</v>
      </c>
      <c r="B11" s="281"/>
      <c r="C11" s="281"/>
      <c r="D11" s="281"/>
      <c r="E11" s="281"/>
      <c r="F11" s="218"/>
    </row>
    <row r="12" spans="1:6" ht="17.399999999999999">
      <c r="A12" s="217" t="s">
        <v>283</v>
      </c>
      <c r="B12" s="83">
        <f>'10.Bilans'!C15/'10.Bilans'!C35</f>
        <v>1.6848054095041789</v>
      </c>
      <c r="C12" s="218"/>
      <c r="D12" s="218"/>
      <c r="E12" s="218"/>
      <c r="F12" s="218"/>
    </row>
    <row r="13" spans="1:6">
      <c r="C13" s="218"/>
      <c r="D13" s="218"/>
      <c r="E13" s="218"/>
      <c r="F13" s="218"/>
    </row>
    <row r="14" spans="1:6">
      <c r="A14" s="135" t="s">
        <v>207</v>
      </c>
      <c r="B14" s="136"/>
      <c r="C14" s="136"/>
      <c r="D14" s="136"/>
      <c r="E14" s="136"/>
    </row>
    <row r="15" spans="1:6" ht="53.4" customHeight="1">
      <c r="A15" s="219" t="s">
        <v>165</v>
      </c>
      <c r="B15" s="83">
        <f>'10.Bilans'!C34/'10.Bilans'!C25</f>
        <v>0.51936777117103095</v>
      </c>
      <c r="C15" s="353"/>
      <c r="D15" s="353"/>
      <c r="E15" s="353"/>
    </row>
  </sheetData>
  <sheetProtection algorithmName="SHA-512" hashValue="pu5+O8IRvOYfP+pIi9+2USX0F0IAVhigaO+sPYsxafG5lovPBdZguO9Cb+L4Eps5OKV63anbC6m/RleGGM9ciQ==" saltValue="TI+1aopXu7zR1AfsN7Y/LQ==" spinCount="100000" sheet="1" objects="1" scenarios="1"/>
  <mergeCells count="5">
    <mergeCell ref="C15:E15"/>
    <mergeCell ref="C9:F10"/>
    <mergeCell ref="A2:E2"/>
    <mergeCell ref="A1:F1"/>
    <mergeCell ref="A11:E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A525C-5373-49EA-996F-03B586CE16A8}">
  <sheetPr codeName="Sheet1">
    <tabColor rgb="FFFFFF00"/>
  </sheetPr>
  <dimension ref="A1:M12"/>
  <sheetViews>
    <sheetView tabSelected="1" workbookViewId="0">
      <selection activeCell="A6" sqref="A6:K8"/>
    </sheetView>
  </sheetViews>
  <sheetFormatPr defaultRowHeight="13.8"/>
  <cols>
    <col min="1" max="1" width="6.59765625" customWidth="1"/>
    <col min="3" max="3" width="21.69921875" customWidth="1"/>
    <col min="5" max="5" width="28" customWidth="1"/>
    <col min="6" max="6" width="18.796875" customWidth="1"/>
  </cols>
  <sheetData>
    <row r="1" spans="1:13" ht="72.599999999999994" customHeight="1">
      <c r="A1" s="268" t="s">
        <v>402</v>
      </c>
      <c r="B1" s="269"/>
      <c r="C1" s="269"/>
      <c r="D1" s="269"/>
      <c r="E1" s="269"/>
      <c r="F1" s="269"/>
    </row>
    <row r="2" spans="1:13">
      <c r="A2" s="265" t="s">
        <v>276</v>
      </c>
      <c r="B2" s="266"/>
      <c r="C2" s="267"/>
      <c r="D2" s="267"/>
      <c r="E2" s="267"/>
    </row>
    <row r="3" spans="1:13" ht="197.4" customHeight="1">
      <c r="A3" s="270" t="s">
        <v>294</v>
      </c>
      <c r="B3" s="270"/>
      <c r="C3" s="270"/>
      <c r="D3" s="270"/>
      <c r="E3" s="270"/>
      <c r="F3" s="270"/>
      <c r="G3" s="140"/>
      <c r="H3" s="140"/>
      <c r="I3" s="140"/>
      <c r="J3" s="140"/>
      <c r="K3" s="140"/>
      <c r="L3" s="140"/>
      <c r="M3" s="140"/>
    </row>
    <row r="6" spans="1:13">
      <c r="A6" s="271" t="s">
        <v>404</v>
      </c>
      <c r="B6" s="272"/>
      <c r="C6" s="272"/>
      <c r="D6" s="272"/>
      <c r="E6" s="272"/>
      <c r="F6" s="272"/>
      <c r="G6" s="272"/>
      <c r="H6" s="272"/>
      <c r="I6" s="272"/>
      <c r="J6" s="272"/>
      <c r="K6" s="273"/>
    </row>
    <row r="7" spans="1:13">
      <c r="A7" s="274"/>
      <c r="B7" s="275"/>
      <c r="C7" s="275"/>
      <c r="D7" s="275"/>
      <c r="E7" s="275"/>
      <c r="F7" s="275"/>
      <c r="G7" s="275"/>
      <c r="H7" s="275"/>
      <c r="I7" s="275"/>
      <c r="J7" s="275"/>
      <c r="K7" s="276"/>
    </row>
    <row r="8" spans="1:13">
      <c r="A8" s="277"/>
      <c r="B8" s="278"/>
      <c r="C8" s="278"/>
      <c r="D8" s="278"/>
      <c r="E8" s="278"/>
      <c r="F8" s="278"/>
      <c r="G8" s="278"/>
      <c r="H8" s="278"/>
      <c r="I8" s="278"/>
      <c r="J8" s="278"/>
      <c r="K8" s="279"/>
    </row>
    <row r="12" spans="1:13" ht="28.2" customHeight="1">
      <c r="A12" s="264"/>
      <c r="B12" s="264"/>
      <c r="C12" s="264"/>
      <c r="D12" s="264"/>
      <c r="E12" s="264"/>
      <c r="F12" s="264"/>
    </row>
  </sheetData>
  <sheetProtection algorithmName="SHA-512" hashValue="KpXFQRKLfuvWfQq7EJXfOf5Y47WRfB8iV36QnMHeVfc1rNaHhxk+anLXwuXwPSVwG/NrhM/+HZNmW1fYbZaSGg==" saltValue="rzpbwt7xl+l6RU7HvGdR0Q==" spinCount="100000" sheet="1" objects="1" scenarios="1"/>
  <mergeCells count="5">
    <mergeCell ref="A12:F12"/>
    <mergeCell ref="A2:E2"/>
    <mergeCell ref="A1:F1"/>
    <mergeCell ref="A3:F3"/>
    <mergeCell ref="A6:K8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Arkusz17">
    <tabColor rgb="FF00B050"/>
  </sheetPr>
  <dimension ref="A1:F12"/>
  <sheetViews>
    <sheetView workbookViewId="0">
      <selection activeCell="J11" sqref="J11"/>
    </sheetView>
  </sheetViews>
  <sheetFormatPr defaultRowHeight="16.8"/>
  <cols>
    <col min="1" max="1" width="19.296875" style="85" customWidth="1"/>
    <col min="2" max="2" width="15" style="85" bestFit="1" customWidth="1"/>
    <col min="3" max="3" width="11.59765625" style="85" bestFit="1" customWidth="1"/>
    <col min="4" max="4" width="19.8984375" style="85" customWidth="1"/>
    <col min="5" max="5" width="13.796875" style="85" customWidth="1"/>
    <col min="6" max="16384" width="8.796875" style="85"/>
  </cols>
  <sheetData>
    <row r="1" spans="1:6" ht="82.2" customHeight="1">
      <c r="A1" s="268" t="s">
        <v>402</v>
      </c>
      <c r="B1" s="269"/>
      <c r="C1" s="269"/>
      <c r="D1" s="269"/>
      <c r="E1" s="269"/>
      <c r="F1" s="269"/>
    </row>
    <row r="2" spans="1:6">
      <c r="A2" s="282" t="s">
        <v>208</v>
      </c>
      <c r="B2" s="352"/>
      <c r="C2" s="352"/>
      <c r="D2" s="352"/>
      <c r="E2" s="352"/>
      <c r="F2" s="352"/>
    </row>
    <row r="3" spans="1:6">
      <c r="A3" s="85" t="s">
        <v>378</v>
      </c>
      <c r="B3" s="137">
        <f>-'9.Kredyt'!F8</f>
        <v>-109146.2693333333</v>
      </c>
      <c r="E3" s="138"/>
    </row>
    <row r="4" spans="1:6">
      <c r="A4" s="85" t="s">
        <v>379</v>
      </c>
      <c r="B4" s="137">
        <f>'2.Rachunek zysków i start'!C22</f>
        <v>101005.9114640172</v>
      </c>
    </row>
    <row r="5" spans="1:6">
      <c r="A5" s="85" t="s">
        <v>380</v>
      </c>
      <c r="B5" s="137">
        <f>'2.Rachunek zysków i start'!D22</f>
        <v>71079.181016017217</v>
      </c>
    </row>
    <row r="6" spans="1:6">
      <c r="A6" s="85" t="s">
        <v>381</v>
      </c>
      <c r="B6" s="137">
        <f>'2.Rachunek zysków i start'!E22</f>
        <v>74066.34273009724</v>
      </c>
    </row>
    <row r="7" spans="1:6">
      <c r="A7" s="85" t="s">
        <v>382</v>
      </c>
      <c r="B7" s="137">
        <f>'2.Rachunek zysków i start'!F22</f>
        <v>80701.866963740409</v>
      </c>
    </row>
    <row r="8" spans="1:6">
      <c r="A8" s="85" t="s">
        <v>383</v>
      </c>
      <c r="B8" s="137">
        <f>'2.Rachunek zysków i start'!G22</f>
        <v>85041.857047259327</v>
      </c>
    </row>
    <row r="9" spans="1:6">
      <c r="A9" s="85" t="s">
        <v>384</v>
      </c>
      <c r="B9" s="137">
        <f>'2.Rachunek zysków i start'!H22</f>
        <v>105280.36198906484</v>
      </c>
    </row>
    <row r="10" spans="1:6">
      <c r="A10" s="85" t="s">
        <v>209</v>
      </c>
      <c r="B10" s="232">
        <f>'0.Panel'!B52</f>
        <v>0.14000000000000001</v>
      </c>
    </row>
    <row r="11" spans="1:6">
      <c r="A11" s="85" t="s">
        <v>386</v>
      </c>
      <c r="B11" s="138">
        <f>NPV(B10,B4:B9)+B3</f>
        <v>224055.57692667039</v>
      </c>
    </row>
    <row r="12" spans="1:6">
      <c r="A12" s="85" t="s">
        <v>385</v>
      </c>
      <c r="B12" s="139">
        <f>IRR(B3:B9)</f>
        <v>0.77407482075855283</v>
      </c>
    </row>
  </sheetData>
  <sheetProtection algorithmName="SHA-512" hashValue="ilLPye1SVOAQy+qtLM/aep6cCGTJexRoBK9BJe/ydkO06tDrVnm0IDXiy/P9XlIpscucGlullreBpYXvo9Lhag==" saltValue="usVVVHBruQcjrtd2+stAmQ==" spinCount="100000" sheet="1" scenarios="1"/>
  <mergeCells count="2">
    <mergeCell ref="A1:F1"/>
    <mergeCell ref="A2:F2"/>
  </mergeCells>
  <pageMargins left="0.7" right="0.7" top="0.75" bottom="0.75" header="0.3" footer="0.3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Arkusz19">
    <tabColor rgb="FF00B050"/>
  </sheetPr>
  <dimension ref="A1:G17"/>
  <sheetViews>
    <sheetView workbookViewId="0">
      <selection activeCell="K9" sqref="K9"/>
    </sheetView>
  </sheetViews>
  <sheetFormatPr defaultRowHeight="16.8"/>
  <cols>
    <col min="1" max="1" width="13.59765625" style="85" customWidth="1"/>
    <col min="2" max="2" width="25.5" style="85" bestFit="1" customWidth="1"/>
    <col min="3" max="3" width="19.69921875" style="85" customWidth="1"/>
    <col min="4" max="4" width="29.796875" style="85" bestFit="1" customWidth="1"/>
    <col min="5" max="5" width="30.59765625" style="85" bestFit="1" customWidth="1"/>
    <col min="6" max="6" width="14.09765625" style="85" customWidth="1"/>
    <col min="7" max="7" width="5.59765625" style="85" customWidth="1"/>
    <col min="8" max="8" width="8.296875" style="85" customWidth="1"/>
    <col min="9" max="16384" width="8.796875" style="85"/>
  </cols>
  <sheetData>
    <row r="1" spans="1:7" ht="64.8" customHeight="1">
      <c r="A1" s="268" t="s">
        <v>402</v>
      </c>
      <c r="B1" s="269"/>
      <c r="C1" s="269"/>
      <c r="D1" s="269"/>
      <c r="E1" s="269"/>
      <c r="F1" s="269"/>
    </row>
    <row r="2" spans="1:7">
      <c r="A2" s="282" t="s">
        <v>234</v>
      </c>
      <c r="B2" s="352"/>
      <c r="C2" s="352"/>
      <c r="D2" s="352"/>
      <c r="E2" s="352"/>
      <c r="F2" s="352"/>
    </row>
    <row r="3" spans="1:7">
      <c r="D3" s="85" t="s">
        <v>231</v>
      </c>
    </row>
    <row r="4" spans="1:7">
      <c r="D4" s="137">
        <f>'9.Kredyt'!F3</f>
        <v>40000</v>
      </c>
    </row>
    <row r="5" spans="1:7">
      <c r="D5" s="85" t="s">
        <v>378</v>
      </c>
    </row>
    <row r="6" spans="1:7">
      <c r="D6" s="137">
        <f>'9.Kredyt'!F8</f>
        <v>109146.2693333333</v>
      </c>
    </row>
    <row r="7" spans="1:7">
      <c r="A7" s="85" t="s">
        <v>387</v>
      </c>
      <c r="B7" s="85">
        <f>'9.Kredyt'!F5</f>
        <v>2</v>
      </c>
      <c r="C7" s="85" t="s">
        <v>241</v>
      </c>
      <c r="D7" s="220" t="s">
        <v>242</v>
      </c>
    </row>
    <row r="8" spans="1:7">
      <c r="A8" s="85" t="s">
        <v>357</v>
      </c>
      <c r="B8" s="221">
        <f>'6.Koszty początkowe'!C4+('6.Koszty początkowe'!C5+'6.Koszty początkowe'!C6+'6.Koszty początkowe'!C7+'6.Koszty początkowe'!C8+'6.Koszty początkowe'!C9+'6.Koszty początkowe'!C10+'6.1.Kwota na materiały'!B5)/12*('9.Kredyt'!F5-1)</f>
        <v>115723.13466666666</v>
      </c>
      <c r="D8" s="137">
        <f>D4+D6</f>
        <v>149146.2693333333</v>
      </c>
    </row>
    <row r="9" spans="1:7" ht="48.6" customHeight="1">
      <c r="B9" s="355" t="s">
        <v>388</v>
      </c>
      <c r="C9" s="356"/>
      <c r="D9" s="356"/>
      <c r="E9" s="136">
        <f>B7</f>
        <v>2</v>
      </c>
      <c r="F9" s="223" t="s">
        <v>246</v>
      </c>
      <c r="G9" s="222"/>
    </row>
    <row r="13" spans="1:7">
      <c r="F13" s="54"/>
    </row>
    <row r="14" spans="1:7">
      <c r="D14" s="137"/>
    </row>
    <row r="15" spans="1:7">
      <c r="D15" s="137"/>
    </row>
    <row r="16" spans="1:7">
      <c r="D16" s="137"/>
    </row>
    <row r="17" spans="6:6">
      <c r="F17" s="137"/>
    </row>
  </sheetData>
  <sheetProtection algorithmName="SHA-512" hashValue="hjczHsZBQTRRRGgMUezoHYFidHSEENxsHpdO8g1MYWniD1Gp499+tyQ7QTEFKlEfj9Cs7gcEKdUME+uqhCoqug==" saltValue="3plRrtpcFG0Zwkf0TNf/sA==" spinCount="100000" sheet="1" objects="1" scenarios="1"/>
  <mergeCells count="3">
    <mergeCell ref="A1:F1"/>
    <mergeCell ref="B9:D9"/>
    <mergeCell ref="A2:F2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C0736B-DE48-4B13-9AF4-8D74A2570C10}">
  <sheetPr codeName="Sheet4">
    <tabColor rgb="FF00B050"/>
  </sheetPr>
  <dimension ref="A1:P12"/>
  <sheetViews>
    <sheetView workbookViewId="0">
      <selection activeCell="K15" sqref="K15"/>
    </sheetView>
  </sheetViews>
  <sheetFormatPr defaultRowHeight="16.8"/>
  <cols>
    <col min="1" max="2" width="8.796875" style="24"/>
    <col min="3" max="3" width="20" style="24" customWidth="1"/>
    <col min="4" max="4" width="13.3984375" style="24" customWidth="1"/>
    <col min="5" max="5" width="28.3984375" style="24" customWidth="1"/>
    <col min="6" max="10" width="8.796875" style="24"/>
    <col min="11" max="11" width="31.796875" style="24" bestFit="1" customWidth="1"/>
    <col min="12" max="257" width="8.796875" style="24"/>
    <col min="258" max="258" width="17.09765625" style="24" customWidth="1"/>
    <col min="259" max="259" width="13.3984375" style="24" customWidth="1"/>
    <col min="260" max="266" width="8.796875" style="24"/>
    <col min="267" max="267" width="31.796875" style="24" bestFit="1" customWidth="1"/>
    <col min="268" max="513" width="8.796875" style="24"/>
    <col min="514" max="514" width="17.09765625" style="24" customWidth="1"/>
    <col min="515" max="515" width="13.3984375" style="24" customWidth="1"/>
    <col min="516" max="522" width="8.796875" style="24"/>
    <col min="523" max="523" width="31.796875" style="24" bestFit="1" customWidth="1"/>
    <col min="524" max="769" width="8.796875" style="24"/>
    <col min="770" max="770" width="17.09765625" style="24" customWidth="1"/>
    <col min="771" max="771" width="13.3984375" style="24" customWidth="1"/>
    <col min="772" max="778" width="8.796875" style="24"/>
    <col min="779" max="779" width="31.796875" style="24" bestFit="1" customWidth="1"/>
    <col min="780" max="1025" width="8.796875" style="24"/>
    <col min="1026" max="1026" width="17.09765625" style="24" customWidth="1"/>
    <col min="1027" max="1027" width="13.3984375" style="24" customWidth="1"/>
    <col min="1028" max="1034" width="8.796875" style="24"/>
    <col min="1035" max="1035" width="31.796875" style="24" bestFit="1" customWidth="1"/>
    <col min="1036" max="1281" width="8.796875" style="24"/>
    <col min="1282" max="1282" width="17.09765625" style="24" customWidth="1"/>
    <col min="1283" max="1283" width="13.3984375" style="24" customWidth="1"/>
    <col min="1284" max="1290" width="8.796875" style="24"/>
    <col min="1291" max="1291" width="31.796875" style="24" bestFit="1" customWidth="1"/>
    <col min="1292" max="1537" width="8.796875" style="24"/>
    <col min="1538" max="1538" width="17.09765625" style="24" customWidth="1"/>
    <col min="1539" max="1539" width="13.3984375" style="24" customWidth="1"/>
    <col min="1540" max="1546" width="8.796875" style="24"/>
    <col min="1547" max="1547" width="31.796875" style="24" bestFit="1" customWidth="1"/>
    <col min="1548" max="1793" width="8.796875" style="24"/>
    <col min="1794" max="1794" width="17.09765625" style="24" customWidth="1"/>
    <col min="1795" max="1795" width="13.3984375" style="24" customWidth="1"/>
    <col min="1796" max="1802" width="8.796875" style="24"/>
    <col min="1803" max="1803" width="31.796875" style="24" bestFit="1" customWidth="1"/>
    <col min="1804" max="2049" width="8.796875" style="24"/>
    <col min="2050" max="2050" width="17.09765625" style="24" customWidth="1"/>
    <col min="2051" max="2051" width="13.3984375" style="24" customWidth="1"/>
    <col min="2052" max="2058" width="8.796875" style="24"/>
    <col min="2059" max="2059" width="31.796875" style="24" bestFit="1" customWidth="1"/>
    <col min="2060" max="2305" width="8.796875" style="24"/>
    <col min="2306" max="2306" width="17.09765625" style="24" customWidth="1"/>
    <col min="2307" max="2307" width="13.3984375" style="24" customWidth="1"/>
    <col min="2308" max="2314" width="8.796875" style="24"/>
    <col min="2315" max="2315" width="31.796875" style="24" bestFit="1" customWidth="1"/>
    <col min="2316" max="2561" width="8.796875" style="24"/>
    <col min="2562" max="2562" width="17.09765625" style="24" customWidth="1"/>
    <col min="2563" max="2563" width="13.3984375" style="24" customWidth="1"/>
    <col min="2564" max="2570" width="8.796875" style="24"/>
    <col min="2571" max="2571" width="31.796875" style="24" bestFit="1" customWidth="1"/>
    <col min="2572" max="2817" width="8.796875" style="24"/>
    <col min="2818" max="2818" width="17.09765625" style="24" customWidth="1"/>
    <col min="2819" max="2819" width="13.3984375" style="24" customWidth="1"/>
    <col min="2820" max="2826" width="8.796875" style="24"/>
    <col min="2827" max="2827" width="31.796875" style="24" bestFit="1" customWidth="1"/>
    <col min="2828" max="3073" width="8.796875" style="24"/>
    <col min="3074" max="3074" width="17.09765625" style="24" customWidth="1"/>
    <col min="3075" max="3075" width="13.3984375" style="24" customWidth="1"/>
    <col min="3076" max="3082" width="8.796875" style="24"/>
    <col min="3083" max="3083" width="31.796875" style="24" bestFit="1" customWidth="1"/>
    <col min="3084" max="3329" width="8.796875" style="24"/>
    <col min="3330" max="3330" width="17.09765625" style="24" customWidth="1"/>
    <col min="3331" max="3331" width="13.3984375" style="24" customWidth="1"/>
    <col min="3332" max="3338" width="8.796875" style="24"/>
    <col min="3339" max="3339" width="31.796875" style="24" bestFit="1" customWidth="1"/>
    <col min="3340" max="3585" width="8.796875" style="24"/>
    <col min="3586" max="3586" width="17.09765625" style="24" customWidth="1"/>
    <col min="3587" max="3587" width="13.3984375" style="24" customWidth="1"/>
    <col min="3588" max="3594" width="8.796875" style="24"/>
    <col min="3595" max="3595" width="31.796875" style="24" bestFit="1" customWidth="1"/>
    <col min="3596" max="3841" width="8.796875" style="24"/>
    <col min="3842" max="3842" width="17.09765625" style="24" customWidth="1"/>
    <col min="3843" max="3843" width="13.3984375" style="24" customWidth="1"/>
    <col min="3844" max="3850" width="8.796875" style="24"/>
    <col min="3851" max="3851" width="31.796875" style="24" bestFit="1" customWidth="1"/>
    <col min="3852" max="4097" width="8.796875" style="24"/>
    <col min="4098" max="4098" width="17.09765625" style="24" customWidth="1"/>
    <col min="4099" max="4099" width="13.3984375" style="24" customWidth="1"/>
    <col min="4100" max="4106" width="8.796875" style="24"/>
    <col min="4107" max="4107" width="31.796875" style="24" bestFit="1" customWidth="1"/>
    <col min="4108" max="4353" width="8.796875" style="24"/>
    <col min="4354" max="4354" width="17.09765625" style="24" customWidth="1"/>
    <col min="4355" max="4355" width="13.3984375" style="24" customWidth="1"/>
    <col min="4356" max="4362" width="8.796875" style="24"/>
    <col min="4363" max="4363" width="31.796875" style="24" bestFit="1" customWidth="1"/>
    <col min="4364" max="4609" width="8.796875" style="24"/>
    <col min="4610" max="4610" width="17.09765625" style="24" customWidth="1"/>
    <col min="4611" max="4611" width="13.3984375" style="24" customWidth="1"/>
    <col min="4612" max="4618" width="8.796875" style="24"/>
    <col min="4619" max="4619" width="31.796875" style="24" bestFit="1" customWidth="1"/>
    <col min="4620" max="4865" width="8.796875" style="24"/>
    <col min="4866" max="4866" width="17.09765625" style="24" customWidth="1"/>
    <col min="4867" max="4867" width="13.3984375" style="24" customWidth="1"/>
    <col min="4868" max="4874" width="8.796875" style="24"/>
    <col min="4875" max="4875" width="31.796875" style="24" bestFit="1" customWidth="1"/>
    <col min="4876" max="5121" width="8.796875" style="24"/>
    <col min="5122" max="5122" width="17.09765625" style="24" customWidth="1"/>
    <col min="5123" max="5123" width="13.3984375" style="24" customWidth="1"/>
    <col min="5124" max="5130" width="8.796875" style="24"/>
    <col min="5131" max="5131" width="31.796875" style="24" bestFit="1" customWidth="1"/>
    <col min="5132" max="5377" width="8.796875" style="24"/>
    <col min="5378" max="5378" width="17.09765625" style="24" customWidth="1"/>
    <col min="5379" max="5379" width="13.3984375" style="24" customWidth="1"/>
    <col min="5380" max="5386" width="8.796875" style="24"/>
    <col min="5387" max="5387" width="31.796875" style="24" bestFit="1" customWidth="1"/>
    <col min="5388" max="5633" width="8.796875" style="24"/>
    <col min="5634" max="5634" width="17.09765625" style="24" customWidth="1"/>
    <col min="5635" max="5635" width="13.3984375" style="24" customWidth="1"/>
    <col min="5636" max="5642" width="8.796875" style="24"/>
    <col min="5643" max="5643" width="31.796875" style="24" bestFit="1" customWidth="1"/>
    <col min="5644" max="5889" width="8.796875" style="24"/>
    <col min="5890" max="5890" width="17.09765625" style="24" customWidth="1"/>
    <col min="5891" max="5891" width="13.3984375" style="24" customWidth="1"/>
    <col min="5892" max="5898" width="8.796875" style="24"/>
    <col min="5899" max="5899" width="31.796875" style="24" bestFit="1" customWidth="1"/>
    <col min="5900" max="6145" width="8.796875" style="24"/>
    <col min="6146" max="6146" width="17.09765625" style="24" customWidth="1"/>
    <col min="6147" max="6147" width="13.3984375" style="24" customWidth="1"/>
    <col min="6148" max="6154" width="8.796875" style="24"/>
    <col min="6155" max="6155" width="31.796875" style="24" bestFit="1" customWidth="1"/>
    <col min="6156" max="6401" width="8.796875" style="24"/>
    <col min="6402" max="6402" width="17.09765625" style="24" customWidth="1"/>
    <col min="6403" max="6403" width="13.3984375" style="24" customWidth="1"/>
    <col min="6404" max="6410" width="8.796875" style="24"/>
    <col min="6411" max="6411" width="31.796875" style="24" bestFit="1" customWidth="1"/>
    <col min="6412" max="6657" width="8.796875" style="24"/>
    <col min="6658" max="6658" width="17.09765625" style="24" customWidth="1"/>
    <col min="6659" max="6659" width="13.3984375" style="24" customWidth="1"/>
    <col min="6660" max="6666" width="8.796875" style="24"/>
    <col min="6667" max="6667" width="31.796875" style="24" bestFit="1" customWidth="1"/>
    <col min="6668" max="6913" width="8.796875" style="24"/>
    <col min="6914" max="6914" width="17.09765625" style="24" customWidth="1"/>
    <col min="6915" max="6915" width="13.3984375" style="24" customWidth="1"/>
    <col min="6916" max="6922" width="8.796875" style="24"/>
    <col min="6923" max="6923" width="31.796875" style="24" bestFit="1" customWidth="1"/>
    <col min="6924" max="7169" width="8.796875" style="24"/>
    <col min="7170" max="7170" width="17.09765625" style="24" customWidth="1"/>
    <col min="7171" max="7171" width="13.3984375" style="24" customWidth="1"/>
    <col min="7172" max="7178" width="8.796875" style="24"/>
    <col min="7179" max="7179" width="31.796875" style="24" bestFit="1" customWidth="1"/>
    <col min="7180" max="7425" width="8.796875" style="24"/>
    <col min="7426" max="7426" width="17.09765625" style="24" customWidth="1"/>
    <col min="7427" max="7427" width="13.3984375" style="24" customWidth="1"/>
    <col min="7428" max="7434" width="8.796875" style="24"/>
    <col min="7435" max="7435" width="31.796875" style="24" bestFit="1" customWidth="1"/>
    <col min="7436" max="7681" width="8.796875" style="24"/>
    <col min="7682" max="7682" width="17.09765625" style="24" customWidth="1"/>
    <col min="7683" max="7683" width="13.3984375" style="24" customWidth="1"/>
    <col min="7684" max="7690" width="8.796875" style="24"/>
    <col min="7691" max="7691" width="31.796875" style="24" bestFit="1" customWidth="1"/>
    <col min="7692" max="7937" width="8.796875" style="24"/>
    <col min="7938" max="7938" width="17.09765625" style="24" customWidth="1"/>
    <col min="7939" max="7939" width="13.3984375" style="24" customWidth="1"/>
    <col min="7940" max="7946" width="8.796875" style="24"/>
    <col min="7947" max="7947" width="31.796875" style="24" bestFit="1" customWidth="1"/>
    <col min="7948" max="8193" width="8.796875" style="24"/>
    <col min="8194" max="8194" width="17.09765625" style="24" customWidth="1"/>
    <col min="8195" max="8195" width="13.3984375" style="24" customWidth="1"/>
    <col min="8196" max="8202" width="8.796875" style="24"/>
    <col min="8203" max="8203" width="31.796875" style="24" bestFit="1" customWidth="1"/>
    <col min="8204" max="8449" width="8.796875" style="24"/>
    <col min="8450" max="8450" width="17.09765625" style="24" customWidth="1"/>
    <col min="8451" max="8451" width="13.3984375" style="24" customWidth="1"/>
    <col min="8452" max="8458" width="8.796875" style="24"/>
    <col min="8459" max="8459" width="31.796875" style="24" bestFit="1" customWidth="1"/>
    <col min="8460" max="8705" width="8.796875" style="24"/>
    <col min="8706" max="8706" width="17.09765625" style="24" customWidth="1"/>
    <col min="8707" max="8707" width="13.3984375" style="24" customWidth="1"/>
    <col min="8708" max="8714" width="8.796875" style="24"/>
    <col min="8715" max="8715" width="31.796875" style="24" bestFit="1" customWidth="1"/>
    <col min="8716" max="8961" width="8.796875" style="24"/>
    <col min="8962" max="8962" width="17.09765625" style="24" customWidth="1"/>
    <col min="8963" max="8963" width="13.3984375" style="24" customWidth="1"/>
    <col min="8964" max="8970" width="8.796875" style="24"/>
    <col min="8971" max="8971" width="31.796875" style="24" bestFit="1" customWidth="1"/>
    <col min="8972" max="9217" width="8.796875" style="24"/>
    <col min="9218" max="9218" width="17.09765625" style="24" customWidth="1"/>
    <col min="9219" max="9219" width="13.3984375" style="24" customWidth="1"/>
    <col min="9220" max="9226" width="8.796875" style="24"/>
    <col min="9227" max="9227" width="31.796875" style="24" bestFit="1" customWidth="1"/>
    <col min="9228" max="9473" width="8.796875" style="24"/>
    <col min="9474" max="9474" width="17.09765625" style="24" customWidth="1"/>
    <col min="9475" max="9475" width="13.3984375" style="24" customWidth="1"/>
    <col min="9476" max="9482" width="8.796875" style="24"/>
    <col min="9483" max="9483" width="31.796875" style="24" bestFit="1" customWidth="1"/>
    <col min="9484" max="9729" width="8.796875" style="24"/>
    <col min="9730" max="9730" width="17.09765625" style="24" customWidth="1"/>
    <col min="9731" max="9731" width="13.3984375" style="24" customWidth="1"/>
    <col min="9732" max="9738" width="8.796875" style="24"/>
    <col min="9739" max="9739" width="31.796875" style="24" bestFit="1" customWidth="1"/>
    <col min="9740" max="9985" width="8.796875" style="24"/>
    <col min="9986" max="9986" width="17.09765625" style="24" customWidth="1"/>
    <col min="9987" max="9987" width="13.3984375" style="24" customWidth="1"/>
    <col min="9988" max="9994" width="8.796875" style="24"/>
    <col min="9995" max="9995" width="31.796875" style="24" bestFit="1" customWidth="1"/>
    <col min="9996" max="10241" width="8.796875" style="24"/>
    <col min="10242" max="10242" width="17.09765625" style="24" customWidth="1"/>
    <col min="10243" max="10243" width="13.3984375" style="24" customWidth="1"/>
    <col min="10244" max="10250" width="8.796875" style="24"/>
    <col min="10251" max="10251" width="31.796875" style="24" bestFit="1" customWidth="1"/>
    <col min="10252" max="10497" width="8.796875" style="24"/>
    <col min="10498" max="10498" width="17.09765625" style="24" customWidth="1"/>
    <col min="10499" max="10499" width="13.3984375" style="24" customWidth="1"/>
    <col min="10500" max="10506" width="8.796875" style="24"/>
    <col min="10507" max="10507" width="31.796875" style="24" bestFit="1" customWidth="1"/>
    <col min="10508" max="10753" width="8.796875" style="24"/>
    <col min="10754" max="10754" width="17.09765625" style="24" customWidth="1"/>
    <col min="10755" max="10755" width="13.3984375" style="24" customWidth="1"/>
    <col min="10756" max="10762" width="8.796875" style="24"/>
    <col min="10763" max="10763" width="31.796875" style="24" bestFit="1" customWidth="1"/>
    <col min="10764" max="11009" width="8.796875" style="24"/>
    <col min="11010" max="11010" width="17.09765625" style="24" customWidth="1"/>
    <col min="11011" max="11011" width="13.3984375" style="24" customWidth="1"/>
    <col min="11012" max="11018" width="8.796875" style="24"/>
    <col min="11019" max="11019" width="31.796875" style="24" bestFit="1" customWidth="1"/>
    <col min="11020" max="11265" width="8.796875" style="24"/>
    <col min="11266" max="11266" width="17.09765625" style="24" customWidth="1"/>
    <col min="11267" max="11267" width="13.3984375" style="24" customWidth="1"/>
    <col min="11268" max="11274" width="8.796875" style="24"/>
    <col min="11275" max="11275" width="31.796875" style="24" bestFit="1" customWidth="1"/>
    <col min="11276" max="11521" width="8.796875" style="24"/>
    <col min="11522" max="11522" width="17.09765625" style="24" customWidth="1"/>
    <col min="11523" max="11523" width="13.3984375" style="24" customWidth="1"/>
    <col min="11524" max="11530" width="8.796875" style="24"/>
    <col min="11531" max="11531" width="31.796875" style="24" bestFit="1" customWidth="1"/>
    <col min="11532" max="11777" width="8.796875" style="24"/>
    <col min="11778" max="11778" width="17.09765625" style="24" customWidth="1"/>
    <col min="11779" max="11779" width="13.3984375" style="24" customWidth="1"/>
    <col min="11780" max="11786" width="8.796875" style="24"/>
    <col min="11787" max="11787" width="31.796875" style="24" bestFit="1" customWidth="1"/>
    <col min="11788" max="12033" width="8.796875" style="24"/>
    <col min="12034" max="12034" width="17.09765625" style="24" customWidth="1"/>
    <col min="12035" max="12035" width="13.3984375" style="24" customWidth="1"/>
    <col min="12036" max="12042" width="8.796875" style="24"/>
    <col min="12043" max="12043" width="31.796875" style="24" bestFit="1" customWidth="1"/>
    <col min="12044" max="12289" width="8.796875" style="24"/>
    <col min="12290" max="12290" width="17.09765625" style="24" customWidth="1"/>
    <col min="12291" max="12291" width="13.3984375" style="24" customWidth="1"/>
    <col min="12292" max="12298" width="8.796875" style="24"/>
    <col min="12299" max="12299" width="31.796875" style="24" bestFit="1" customWidth="1"/>
    <col min="12300" max="12545" width="8.796875" style="24"/>
    <col min="12546" max="12546" width="17.09765625" style="24" customWidth="1"/>
    <col min="12547" max="12547" width="13.3984375" style="24" customWidth="1"/>
    <col min="12548" max="12554" width="8.796875" style="24"/>
    <col min="12555" max="12555" width="31.796875" style="24" bestFit="1" customWidth="1"/>
    <col min="12556" max="12801" width="8.796875" style="24"/>
    <col min="12802" max="12802" width="17.09765625" style="24" customWidth="1"/>
    <col min="12803" max="12803" width="13.3984375" style="24" customWidth="1"/>
    <col min="12804" max="12810" width="8.796875" style="24"/>
    <col min="12811" max="12811" width="31.796875" style="24" bestFit="1" customWidth="1"/>
    <col min="12812" max="13057" width="8.796875" style="24"/>
    <col min="13058" max="13058" width="17.09765625" style="24" customWidth="1"/>
    <col min="13059" max="13059" width="13.3984375" style="24" customWidth="1"/>
    <col min="13060" max="13066" width="8.796875" style="24"/>
    <col min="13067" max="13067" width="31.796875" style="24" bestFit="1" customWidth="1"/>
    <col min="13068" max="13313" width="8.796875" style="24"/>
    <col min="13314" max="13314" width="17.09765625" style="24" customWidth="1"/>
    <col min="13315" max="13315" width="13.3984375" style="24" customWidth="1"/>
    <col min="13316" max="13322" width="8.796875" style="24"/>
    <col min="13323" max="13323" width="31.796875" style="24" bestFit="1" customWidth="1"/>
    <col min="13324" max="13569" width="8.796875" style="24"/>
    <col min="13570" max="13570" width="17.09765625" style="24" customWidth="1"/>
    <col min="13571" max="13571" width="13.3984375" style="24" customWidth="1"/>
    <col min="13572" max="13578" width="8.796875" style="24"/>
    <col min="13579" max="13579" width="31.796875" style="24" bestFit="1" customWidth="1"/>
    <col min="13580" max="13825" width="8.796875" style="24"/>
    <col min="13826" max="13826" width="17.09765625" style="24" customWidth="1"/>
    <col min="13827" max="13827" width="13.3984375" style="24" customWidth="1"/>
    <col min="13828" max="13834" width="8.796875" style="24"/>
    <col min="13835" max="13835" width="31.796875" style="24" bestFit="1" customWidth="1"/>
    <col min="13836" max="14081" width="8.796875" style="24"/>
    <col min="14082" max="14082" width="17.09765625" style="24" customWidth="1"/>
    <col min="14083" max="14083" width="13.3984375" style="24" customWidth="1"/>
    <col min="14084" max="14090" width="8.796875" style="24"/>
    <col min="14091" max="14091" width="31.796875" style="24" bestFit="1" customWidth="1"/>
    <col min="14092" max="14337" width="8.796875" style="24"/>
    <col min="14338" max="14338" width="17.09765625" style="24" customWidth="1"/>
    <col min="14339" max="14339" width="13.3984375" style="24" customWidth="1"/>
    <col min="14340" max="14346" width="8.796875" style="24"/>
    <col min="14347" max="14347" width="31.796875" style="24" bestFit="1" customWidth="1"/>
    <col min="14348" max="14593" width="8.796875" style="24"/>
    <col min="14594" max="14594" width="17.09765625" style="24" customWidth="1"/>
    <col min="14595" max="14595" width="13.3984375" style="24" customWidth="1"/>
    <col min="14596" max="14602" width="8.796875" style="24"/>
    <col min="14603" max="14603" width="31.796875" style="24" bestFit="1" customWidth="1"/>
    <col min="14604" max="14849" width="8.796875" style="24"/>
    <col min="14850" max="14850" width="17.09765625" style="24" customWidth="1"/>
    <col min="14851" max="14851" width="13.3984375" style="24" customWidth="1"/>
    <col min="14852" max="14858" width="8.796875" style="24"/>
    <col min="14859" max="14859" width="31.796875" style="24" bestFit="1" customWidth="1"/>
    <col min="14860" max="15105" width="8.796875" style="24"/>
    <col min="15106" max="15106" width="17.09765625" style="24" customWidth="1"/>
    <col min="15107" max="15107" width="13.3984375" style="24" customWidth="1"/>
    <col min="15108" max="15114" width="8.796875" style="24"/>
    <col min="15115" max="15115" width="31.796875" style="24" bestFit="1" customWidth="1"/>
    <col min="15116" max="15361" width="8.796875" style="24"/>
    <col min="15362" max="15362" width="17.09765625" style="24" customWidth="1"/>
    <col min="15363" max="15363" width="13.3984375" style="24" customWidth="1"/>
    <col min="15364" max="15370" width="8.796875" style="24"/>
    <col min="15371" max="15371" width="31.796875" style="24" bestFit="1" customWidth="1"/>
    <col min="15372" max="15617" width="8.796875" style="24"/>
    <col min="15618" max="15618" width="17.09765625" style="24" customWidth="1"/>
    <col min="15619" max="15619" width="13.3984375" style="24" customWidth="1"/>
    <col min="15620" max="15626" width="8.796875" style="24"/>
    <col min="15627" max="15627" width="31.796875" style="24" bestFit="1" customWidth="1"/>
    <col min="15628" max="15873" width="8.796875" style="24"/>
    <col min="15874" max="15874" width="17.09765625" style="24" customWidth="1"/>
    <col min="15875" max="15875" width="13.3984375" style="24" customWidth="1"/>
    <col min="15876" max="15882" width="8.796875" style="24"/>
    <col min="15883" max="15883" width="31.796875" style="24" bestFit="1" customWidth="1"/>
    <col min="15884" max="16129" width="8.796875" style="24"/>
    <col min="16130" max="16130" width="17.09765625" style="24" customWidth="1"/>
    <col min="16131" max="16131" width="13.3984375" style="24" customWidth="1"/>
    <col min="16132" max="16138" width="8.796875" style="24"/>
    <col min="16139" max="16139" width="31.796875" style="24" bestFit="1" customWidth="1"/>
    <col min="16140" max="16384" width="8.796875" style="24"/>
  </cols>
  <sheetData>
    <row r="1" spans="1:16" ht="89.4" customHeight="1">
      <c r="A1" s="268" t="s">
        <v>402</v>
      </c>
      <c r="B1" s="269"/>
      <c r="C1" s="269"/>
      <c r="D1" s="269"/>
      <c r="E1" s="269"/>
      <c r="F1" s="269"/>
    </row>
    <row r="2" spans="1:16">
      <c r="A2" s="282" t="s">
        <v>273</v>
      </c>
      <c r="B2" s="283"/>
      <c r="C2" s="283"/>
      <c r="D2" s="283"/>
      <c r="E2" s="283"/>
      <c r="F2" s="283"/>
      <c r="G2" s="283"/>
      <c r="H2" s="283"/>
      <c r="I2" s="283"/>
      <c r="J2" s="283"/>
      <c r="K2" s="85" t="s">
        <v>254</v>
      </c>
    </row>
    <row r="3" spans="1:16">
      <c r="A3" s="24" t="s">
        <v>230</v>
      </c>
      <c r="D3" s="205">
        <f>'0.Panel'!B4</f>
        <v>2</v>
      </c>
      <c r="K3" s="357" t="s">
        <v>391</v>
      </c>
      <c r="L3" s="356"/>
      <c r="M3" s="356"/>
      <c r="N3" s="356"/>
      <c r="O3" s="356"/>
      <c r="P3" s="356"/>
    </row>
    <row r="4" spans="1:16">
      <c r="A4" s="24" t="s">
        <v>389</v>
      </c>
      <c r="D4" s="205">
        <f>'6.3.Wolumen produkcji'!D12/'15. Wykonalność godzin pracy'!D3/12</f>
        <v>12.75</v>
      </c>
      <c r="E4" s="24" t="s">
        <v>250</v>
      </c>
      <c r="F4" s="205">
        <f>D4*'5.JKW'!N19/8</f>
        <v>1.59375</v>
      </c>
      <c r="G4" s="24" t="s">
        <v>247</v>
      </c>
      <c r="K4" s="356"/>
      <c r="L4" s="356"/>
      <c r="M4" s="356"/>
      <c r="N4" s="356"/>
      <c r="O4" s="356"/>
      <c r="P4" s="356"/>
    </row>
    <row r="5" spans="1:16">
      <c r="A5" s="24" t="s">
        <v>390</v>
      </c>
      <c r="D5" s="205">
        <f>'6.3.Wolumen produkcji'!D13/'15. Wykonalność godzin pracy'!D3/12</f>
        <v>79.583333333333329</v>
      </c>
      <c r="E5" s="24" t="s">
        <v>250</v>
      </c>
      <c r="F5" s="205">
        <f>D5*'5.JKW'!N34/8</f>
        <v>19.895833333333332</v>
      </c>
      <c r="G5" s="24" t="s">
        <v>247</v>
      </c>
    </row>
    <row r="8" spans="1:16" ht="17.399999999999999">
      <c r="A8" s="358" t="s">
        <v>394</v>
      </c>
      <c r="B8" s="359"/>
      <c r="C8" s="359"/>
      <c r="D8" s="359"/>
      <c r="E8" s="359"/>
      <c r="F8" s="224">
        <f>('5.JKW'!N19*'6.3.Wolumen produkcji'!D12+'5.JKW'!N34*'6.3.Wolumen produkcji'!D13)/12</f>
        <v>343.83333333333331</v>
      </c>
      <c r="G8" s="24" t="s">
        <v>248</v>
      </c>
      <c r="H8" s="131" t="s">
        <v>395</v>
      </c>
    </row>
    <row r="9" spans="1:16">
      <c r="A9" s="24" t="s">
        <v>392</v>
      </c>
      <c r="C9" s="24">
        <v>40</v>
      </c>
      <c r="D9" s="24" t="s">
        <v>248</v>
      </c>
      <c r="E9" s="24" t="s">
        <v>249</v>
      </c>
    </row>
    <row r="10" spans="1:16" ht="50.4">
      <c r="C10" s="24">
        <v>160</v>
      </c>
      <c r="D10" s="24" t="s">
        <v>248</v>
      </c>
      <c r="E10" s="218" t="s">
        <v>393</v>
      </c>
      <c r="F10" s="24">
        <f>C10*D3</f>
        <v>320</v>
      </c>
      <c r="G10" s="24" t="s">
        <v>248</v>
      </c>
    </row>
    <row r="12" spans="1:16">
      <c r="A12" s="360" t="s">
        <v>285</v>
      </c>
      <c r="B12" s="281"/>
      <c r="C12" s="281"/>
      <c r="D12" s="281"/>
      <c r="E12" s="281"/>
      <c r="F12" s="281"/>
      <c r="G12" s="281"/>
    </row>
  </sheetData>
  <sheetProtection algorithmName="SHA-512" hashValue="t44q3Gh/JIkjLs52P9d2sQip/rKEa5/EGDHQgXV0pXBU1/RTqrAkoUn7cpqwEWI6CBEAM3oSGrlfDFxFdpEMBg==" saltValue="eOkw/IvVOCcDDf21lMTqNg==" spinCount="100000" sheet="1" objects="1" scenarios="1"/>
  <mergeCells count="5">
    <mergeCell ref="A2:J2"/>
    <mergeCell ref="K3:P4"/>
    <mergeCell ref="A1:F1"/>
    <mergeCell ref="A8:E8"/>
    <mergeCell ref="A12:G12"/>
  </mergeCell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>
    <tabColor rgb="FF00B0F0"/>
  </sheetPr>
  <dimension ref="A1:H52"/>
  <sheetViews>
    <sheetView workbookViewId="0">
      <selection activeCell="A47" sqref="A47:C47"/>
    </sheetView>
  </sheetViews>
  <sheetFormatPr defaultRowHeight="16.8"/>
  <cols>
    <col min="1" max="1" width="42.8984375" style="24" bestFit="1" customWidth="1"/>
    <col min="2" max="2" width="12.59765625" style="24" bestFit="1" customWidth="1"/>
    <col min="3" max="3" width="28" style="24" customWidth="1"/>
    <col min="4" max="4" width="9.19921875" style="24" bestFit="1" customWidth="1"/>
    <col min="5" max="16384" width="8.796875" style="24"/>
  </cols>
  <sheetData>
    <row r="1" spans="1:6" ht="60" customHeight="1">
      <c r="A1" s="280" t="s">
        <v>402</v>
      </c>
      <c r="B1" s="281"/>
      <c r="C1" s="281"/>
      <c r="D1" s="281"/>
      <c r="E1" s="281"/>
      <c r="F1" s="281"/>
    </row>
    <row r="2" spans="1:6">
      <c r="A2" s="282" t="s">
        <v>227</v>
      </c>
      <c r="B2" s="283"/>
      <c r="C2" s="284"/>
      <c r="D2" s="235" t="s">
        <v>295</v>
      </c>
    </row>
    <row r="3" spans="1:6">
      <c r="A3" s="24" t="s">
        <v>274</v>
      </c>
      <c r="B3" s="51">
        <v>2024</v>
      </c>
    </row>
    <row r="4" spans="1:6">
      <c r="A4" s="24" t="s">
        <v>230</v>
      </c>
      <c r="B4" s="51">
        <v>2</v>
      </c>
    </row>
    <row r="5" spans="1:6">
      <c r="A5" s="282" t="s">
        <v>210</v>
      </c>
      <c r="B5" s="283"/>
      <c r="C5" s="284"/>
    </row>
    <row r="6" spans="1:6">
      <c r="A6" s="141" t="s">
        <v>211</v>
      </c>
      <c r="B6" s="17">
        <f>'1.Analiza konkurencji'!B5</f>
        <v>125</v>
      </c>
    </row>
    <row r="7" spans="1:6">
      <c r="A7" s="141" t="s">
        <v>296</v>
      </c>
      <c r="B7" s="89">
        <v>0.2</v>
      </c>
    </row>
    <row r="8" spans="1:6">
      <c r="A8" s="142" t="s">
        <v>297</v>
      </c>
      <c r="B8" s="143">
        <f>B6-B6*B7</f>
        <v>100</v>
      </c>
    </row>
    <row r="10" spans="1:6">
      <c r="A10" s="141" t="s">
        <v>211</v>
      </c>
      <c r="B10" s="17">
        <f>'1.Analiza konkurencji'!B10</f>
        <v>312.5</v>
      </c>
    </row>
    <row r="11" spans="1:6">
      <c r="A11" s="141" t="s">
        <v>296</v>
      </c>
      <c r="B11" s="89">
        <v>0.2</v>
      </c>
    </row>
    <row r="12" spans="1:6">
      <c r="A12" s="142" t="s">
        <v>298</v>
      </c>
      <c r="B12" s="143">
        <f>B10-B10*B11</f>
        <v>250</v>
      </c>
      <c r="C12" s="17"/>
    </row>
    <row r="13" spans="1:6">
      <c r="C13" s="144"/>
    </row>
    <row r="14" spans="1:6">
      <c r="A14" s="282" t="s">
        <v>277</v>
      </c>
      <c r="B14" s="283"/>
      <c r="C14" s="284"/>
    </row>
    <row r="16" spans="1:6">
      <c r="A16" s="24" t="s">
        <v>251</v>
      </c>
      <c r="B16" s="145">
        <f>'5.JKW'!H4-B17+B18</f>
        <v>35.000000000000007</v>
      </c>
    </row>
    <row r="17" spans="1:3">
      <c r="A17" s="141" t="s">
        <v>221</v>
      </c>
      <c r="B17" s="29">
        <v>0</v>
      </c>
    </row>
    <row r="18" spans="1:3">
      <c r="A18" s="141" t="s">
        <v>222</v>
      </c>
      <c r="B18" s="29">
        <v>0</v>
      </c>
    </row>
    <row r="19" spans="1:3">
      <c r="A19" s="24" t="s">
        <v>252</v>
      </c>
      <c r="B19" s="145">
        <f>'5.JKW'!H13-B20+B21</f>
        <v>106.80000000000001</v>
      </c>
    </row>
    <row r="20" spans="1:3">
      <c r="A20" s="141" t="s">
        <v>221</v>
      </c>
      <c r="B20" s="29">
        <v>0</v>
      </c>
    </row>
    <row r="21" spans="1:3">
      <c r="A21" s="141" t="s">
        <v>222</v>
      </c>
      <c r="B21" s="29">
        <v>0</v>
      </c>
    </row>
    <row r="22" spans="1:3">
      <c r="A22" s="282" t="s">
        <v>243</v>
      </c>
      <c r="B22" s="283"/>
      <c r="C22" s="284"/>
    </row>
    <row r="23" spans="1:3">
      <c r="B23" s="90">
        <v>0.04</v>
      </c>
    </row>
    <row r="24" spans="1:3">
      <c r="A24" s="282" t="s">
        <v>225</v>
      </c>
      <c r="B24" s="283"/>
      <c r="C24" s="284"/>
    </row>
    <row r="25" spans="1:3">
      <c r="B25" s="90">
        <v>0.03</v>
      </c>
    </row>
    <row r="26" spans="1:3">
      <c r="A26" s="282" t="s">
        <v>278</v>
      </c>
      <c r="B26" s="283"/>
      <c r="C26" s="284"/>
    </row>
    <row r="27" spans="1:3" ht="17.399999999999999">
      <c r="A27" s="146" t="s">
        <v>299</v>
      </c>
      <c r="B27" s="29">
        <v>1.8</v>
      </c>
      <c r="C27" s="24" t="s">
        <v>226</v>
      </c>
    </row>
    <row r="28" spans="1:3" ht="17.399999999999999">
      <c r="A28" s="146" t="s">
        <v>300</v>
      </c>
      <c r="B28" s="147">
        <f>'6.1.Kwota na materiały'!B5</f>
        <v>214834.49599999998</v>
      </c>
    </row>
    <row r="29" spans="1:3" ht="17.399999999999999">
      <c r="A29" s="146" t="s">
        <v>301</v>
      </c>
      <c r="B29" s="90">
        <v>0.05</v>
      </c>
    </row>
    <row r="30" spans="1:3" ht="17.399999999999999">
      <c r="A30" s="146" t="s">
        <v>302</v>
      </c>
      <c r="B30" s="148">
        <f>'6.3.Wolumen produkcji'!E4</f>
        <v>10741.7248</v>
      </c>
      <c r="C30" s="148"/>
    </row>
    <row r="31" spans="1:3" ht="17.399999999999999">
      <c r="A31" s="146" t="s">
        <v>303</v>
      </c>
      <c r="B31" s="144">
        <f>100%-B29</f>
        <v>0.95</v>
      </c>
    </row>
    <row r="32" spans="1:3" ht="17.399999999999999">
      <c r="A32" s="146" t="s">
        <v>302</v>
      </c>
      <c r="B32" s="148">
        <f>'6.3.Wolumen produkcji'!E5</f>
        <v>204092.77119999999</v>
      </c>
      <c r="C32" s="148"/>
    </row>
    <row r="33" spans="1:8" ht="17.399999999999999">
      <c r="A33" s="146" t="s">
        <v>228</v>
      </c>
      <c r="B33" s="148">
        <f>'6.3.Wolumen produkcji'!D12</f>
        <v>306</v>
      </c>
    </row>
    <row r="34" spans="1:8" ht="17.399999999999999">
      <c r="A34" s="146" t="s">
        <v>229</v>
      </c>
      <c r="B34" s="148">
        <f>'6.3.Wolumen produkcji'!D13</f>
        <v>1910</v>
      </c>
    </row>
    <row r="35" spans="1:8">
      <c r="A35" s="141" t="s">
        <v>304</v>
      </c>
      <c r="B35" s="149">
        <f>'8.1.Marza'!C5-'8.1.Marza'!B4</f>
        <v>65</v>
      </c>
      <c r="H35" s="144"/>
    </row>
    <row r="36" spans="1:8">
      <c r="A36" s="141" t="s">
        <v>305</v>
      </c>
      <c r="B36" s="144">
        <f>'8.1.Marza'!E5</f>
        <v>0.65</v>
      </c>
      <c r="D36" s="144"/>
      <c r="F36" s="144"/>
      <c r="H36" s="144"/>
    </row>
    <row r="37" spans="1:8">
      <c r="A37" s="141" t="s">
        <v>306</v>
      </c>
      <c r="B37" s="144">
        <f>'8.1.Marza'!D5</f>
        <v>1.8571428571428568</v>
      </c>
      <c r="D37" s="144"/>
      <c r="F37" s="144"/>
      <c r="H37" s="144"/>
    </row>
    <row r="38" spans="1:8">
      <c r="A38" s="141" t="s">
        <v>307</v>
      </c>
      <c r="B38" s="24">
        <f>'8.1.Marza'!C11-'8.1.Marza'!B10</f>
        <v>143.19999999999999</v>
      </c>
      <c r="H38" s="144"/>
    </row>
    <row r="39" spans="1:8">
      <c r="A39" s="141" t="s">
        <v>305</v>
      </c>
      <c r="B39" s="144">
        <f>'8.1.Marza'!E11</f>
        <v>0.57279999999999998</v>
      </c>
      <c r="D39" s="144"/>
      <c r="F39" s="144"/>
      <c r="H39" s="144"/>
    </row>
    <row r="40" spans="1:8">
      <c r="A40" s="141" t="s">
        <v>306</v>
      </c>
      <c r="B40" s="144">
        <f>'8.1.Marza'!D11</f>
        <v>1.3408239700374529</v>
      </c>
      <c r="D40" s="144"/>
      <c r="F40" s="144"/>
      <c r="H40" s="144"/>
    </row>
    <row r="41" spans="1:8" ht="17.399999999999999">
      <c r="A41" s="146" t="s">
        <v>308</v>
      </c>
      <c r="B41" s="148">
        <f>'9.Kredyt'!F8</f>
        <v>109146.2693333333</v>
      </c>
    </row>
    <row r="42" spans="1:8" ht="17.399999999999999">
      <c r="A42" s="146" t="s">
        <v>309</v>
      </c>
      <c r="B42" s="148">
        <f>'9.Kredyt'!F3</f>
        <v>40000</v>
      </c>
    </row>
    <row r="43" spans="1:8" ht="17.399999999999999">
      <c r="A43" s="146" t="s">
        <v>310</v>
      </c>
      <c r="B43" s="148">
        <f>'6.Koszty początkowe'!C11</f>
        <v>268543.12</v>
      </c>
    </row>
    <row r="44" spans="1:8" ht="17.399999999999999">
      <c r="A44" s="146" t="s">
        <v>401</v>
      </c>
      <c r="B44" s="148">
        <f>'14.Wykonalność kredytu'!D8</f>
        <v>149146.2693333333</v>
      </c>
    </row>
    <row r="45" spans="1:8">
      <c r="A45" s="282" t="s">
        <v>231</v>
      </c>
      <c r="B45" s="283"/>
      <c r="C45" s="284"/>
    </row>
    <row r="46" spans="1:8" ht="17.399999999999999">
      <c r="A46" s="146"/>
      <c r="B46" s="39">
        <v>40000</v>
      </c>
    </row>
    <row r="47" spans="1:8">
      <c r="A47" s="282" t="s">
        <v>311</v>
      </c>
      <c r="B47" s="283"/>
      <c r="C47" s="284"/>
    </row>
    <row r="48" spans="1:8">
      <c r="B48" s="29">
        <v>2</v>
      </c>
    </row>
    <row r="49" spans="1:3">
      <c r="A49" s="282" t="str">
        <f>'9.Kredyt'!E9</f>
        <v>Oprocentowanie roczne kredytu</v>
      </c>
      <c r="B49" s="283"/>
      <c r="C49" s="284"/>
    </row>
    <row r="50" spans="1:3">
      <c r="B50" s="90">
        <v>0.12</v>
      </c>
    </row>
    <row r="51" spans="1:3">
      <c r="A51" s="282" t="str">
        <f>'13.NPV i IRR'!A10</f>
        <v>Stopa dyskontowa</v>
      </c>
      <c r="B51" s="283"/>
      <c r="C51" s="284"/>
    </row>
    <row r="52" spans="1:3">
      <c r="B52" s="29">
        <v>0.14000000000000001</v>
      </c>
    </row>
  </sheetData>
  <sheetProtection algorithmName="SHA-512" hashValue="EZRgd0D/b9aIoMAaW0qAyCj8W+hVCLiFqqtKUJsS4fKuo7J0dD49xt05OA1ed2yf7mO4yaqW/x5PSh2mXmo3IQ==" saltValue="q6lSgwHr0i5LJpFb6MsHgA==" spinCount="100000" sheet="1" scenarios="1"/>
  <mergeCells count="11">
    <mergeCell ref="A1:F1"/>
    <mergeCell ref="A51:C51"/>
    <mergeCell ref="A47:C47"/>
    <mergeCell ref="A45:C45"/>
    <mergeCell ref="A2:C2"/>
    <mergeCell ref="A26:C26"/>
    <mergeCell ref="A5:C5"/>
    <mergeCell ref="A14:C14"/>
    <mergeCell ref="A22:C22"/>
    <mergeCell ref="A49:C49"/>
    <mergeCell ref="A24:C24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15358-4679-4073-BBCF-65DA0BBC1DD8}">
  <sheetPr codeName="Sheet2">
    <tabColor rgb="FF00B0F0"/>
  </sheetPr>
  <dimension ref="A1:L12"/>
  <sheetViews>
    <sheetView workbookViewId="0">
      <selection activeCell="D17" sqref="D17"/>
    </sheetView>
  </sheetViews>
  <sheetFormatPr defaultRowHeight="16.8"/>
  <cols>
    <col min="1" max="1" width="47.69921875" style="85" customWidth="1"/>
    <col min="2" max="2" width="10.3984375" style="85" bestFit="1" customWidth="1"/>
    <col min="3" max="5" width="8.8984375" style="85" bestFit="1" customWidth="1"/>
    <col min="6" max="16384" width="8.796875" style="85"/>
  </cols>
  <sheetData>
    <row r="1" spans="1:12" ht="74.400000000000006" customHeight="1">
      <c r="A1" s="268" t="s">
        <v>402</v>
      </c>
      <c r="B1" s="269"/>
      <c r="C1" s="269"/>
      <c r="D1" s="269"/>
      <c r="E1" s="269"/>
      <c r="F1" s="269"/>
    </row>
    <row r="2" spans="1:12" ht="17.399999999999999">
      <c r="A2" s="282" t="s">
        <v>236</v>
      </c>
      <c r="B2" s="283"/>
      <c r="C2" s="285"/>
      <c r="D2" s="36" t="s">
        <v>295</v>
      </c>
    </row>
    <row r="3" spans="1:12">
      <c r="A3" s="85" t="s">
        <v>312</v>
      </c>
      <c r="B3" s="51">
        <v>120</v>
      </c>
      <c r="C3" s="51">
        <v>100</v>
      </c>
      <c r="D3" s="51">
        <v>140</v>
      </c>
      <c r="E3" s="51">
        <v>115</v>
      </c>
      <c r="F3" s="51">
        <v>145</v>
      </c>
      <c r="G3" s="51"/>
      <c r="H3" s="51"/>
      <c r="I3" s="51"/>
      <c r="J3" s="51"/>
      <c r="K3" s="51"/>
      <c r="L3" s="51"/>
    </row>
    <row r="4" spans="1:12">
      <c r="A4" s="85" t="s">
        <v>313</v>
      </c>
      <c r="B4" s="51">
        <v>130</v>
      </c>
      <c r="C4" s="51"/>
      <c r="D4" s="51"/>
      <c r="E4" s="51"/>
      <c r="F4" s="51"/>
      <c r="G4" s="51"/>
      <c r="H4" s="51"/>
      <c r="I4" s="51"/>
      <c r="J4" s="51"/>
      <c r="K4" s="51"/>
      <c r="L4" s="51"/>
    </row>
    <row r="5" spans="1:12">
      <c r="A5" s="85" t="s">
        <v>314</v>
      </c>
      <c r="B5" s="137">
        <f>AVERAGE(B3:L4)</f>
        <v>125</v>
      </c>
    </row>
    <row r="6" spans="1:12">
      <c r="A6" s="85" t="s">
        <v>315</v>
      </c>
      <c r="B6" s="52">
        <f>'0.Panel'!B7</f>
        <v>0.2</v>
      </c>
    </row>
    <row r="7" spans="1:12">
      <c r="A7" s="85" t="s">
        <v>316</v>
      </c>
      <c r="B7" s="53">
        <f>'0.Panel'!B8</f>
        <v>100</v>
      </c>
    </row>
    <row r="8" spans="1:12">
      <c r="A8" s="85" t="s">
        <v>317</v>
      </c>
      <c r="B8" s="51">
        <v>290</v>
      </c>
      <c r="C8" s="51">
        <v>250</v>
      </c>
      <c r="D8" s="51">
        <v>350</v>
      </c>
      <c r="E8" s="51">
        <v>345</v>
      </c>
      <c r="F8" s="51">
        <v>310</v>
      </c>
      <c r="G8" s="51"/>
      <c r="H8" s="51"/>
      <c r="I8" s="51"/>
      <c r="J8" s="51"/>
      <c r="K8" s="51"/>
      <c r="L8" s="51"/>
    </row>
    <row r="9" spans="1:12">
      <c r="A9" s="85" t="s">
        <v>313</v>
      </c>
      <c r="B9" s="51">
        <v>330</v>
      </c>
      <c r="C9" s="51"/>
      <c r="D9" s="51"/>
      <c r="E9" s="51"/>
      <c r="F9" s="51"/>
      <c r="G9" s="51"/>
      <c r="H9" s="51"/>
      <c r="I9" s="51"/>
      <c r="J9" s="51"/>
      <c r="K9" s="51"/>
      <c r="L9" s="51"/>
    </row>
    <row r="10" spans="1:12">
      <c r="A10" s="85" t="s">
        <v>318</v>
      </c>
      <c r="B10" s="137">
        <f>AVERAGE(B8:L9)</f>
        <v>312.5</v>
      </c>
    </row>
    <row r="11" spans="1:12">
      <c r="A11" s="85" t="s">
        <v>319</v>
      </c>
      <c r="B11" s="150">
        <f>'0.Panel'!B11</f>
        <v>0.2</v>
      </c>
    </row>
    <row r="12" spans="1:12">
      <c r="A12" s="85" t="s">
        <v>320</v>
      </c>
      <c r="B12" s="151">
        <f>'0.Panel'!B12</f>
        <v>250</v>
      </c>
    </row>
  </sheetData>
  <sheetProtection algorithmName="SHA-512" hashValue="OUTxaam5qSOkrTJHgA6DAr7CTCaZVEwdZqEIjeNkUG1536bXwMdVjDWdf+0qNMjbK1vH7fR8mkt4aURbOPgT4g==" saltValue="lWOcwnxX8sedRkzLQtinYA==" spinCount="100000" sheet="1" scenarios="1"/>
  <mergeCells count="2">
    <mergeCell ref="A2:C2"/>
    <mergeCell ref="A1:F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3">
    <tabColor rgb="FF00B0F0"/>
  </sheetPr>
  <dimension ref="A1:K32"/>
  <sheetViews>
    <sheetView zoomScale="85" zoomScaleNormal="85" workbookViewId="0">
      <selection activeCell="O20" sqref="O20"/>
    </sheetView>
  </sheetViews>
  <sheetFormatPr defaultColWidth="8.59765625" defaultRowHeight="16.8"/>
  <cols>
    <col min="1" max="1" width="16.5" style="24" customWidth="1"/>
    <col min="2" max="2" width="20.5" style="24" customWidth="1"/>
    <col min="3" max="3" width="16.3984375" style="24" customWidth="1"/>
    <col min="4" max="4" width="13.59765625" style="24" customWidth="1"/>
    <col min="5" max="5" width="16.296875" style="24" customWidth="1"/>
    <col min="6" max="6" width="12.8984375" style="24" customWidth="1"/>
    <col min="7" max="7" width="14.09765625" style="24" customWidth="1"/>
    <col min="8" max="8" width="14.69921875" style="24" customWidth="1"/>
    <col min="9" max="9" width="11" style="24" customWidth="1"/>
    <col min="10" max="16384" width="8.59765625" style="24"/>
  </cols>
  <sheetData>
    <row r="1" spans="1:11" ht="75.599999999999994" customHeight="1">
      <c r="A1" s="268" t="s">
        <v>402</v>
      </c>
      <c r="B1" s="269"/>
      <c r="C1" s="269"/>
      <c r="D1" s="269"/>
      <c r="E1" s="269"/>
      <c r="F1" s="269"/>
    </row>
    <row r="2" spans="1:11">
      <c r="A2" s="289"/>
      <c r="B2" s="297" t="s">
        <v>1</v>
      </c>
      <c r="C2" s="298"/>
      <c r="D2" s="298"/>
      <c r="E2" s="298"/>
      <c r="F2" s="298"/>
      <c r="G2" s="298"/>
      <c r="H2" s="298"/>
      <c r="I2" s="152" t="s">
        <v>138</v>
      </c>
      <c r="J2" s="152"/>
      <c r="K2" s="152">
        <f>'0.Panel'!B4</f>
        <v>2</v>
      </c>
    </row>
    <row r="3" spans="1:11" ht="17.399999999999999">
      <c r="A3" s="290"/>
      <c r="B3" s="295" t="s">
        <v>0</v>
      </c>
      <c r="C3" s="296"/>
      <c r="D3" s="296"/>
      <c r="E3" s="296"/>
      <c r="F3" s="296"/>
      <c r="G3" s="296"/>
      <c r="H3" s="296"/>
      <c r="I3" s="36" t="s">
        <v>295</v>
      </c>
    </row>
    <row r="4" spans="1:11" ht="36" customHeight="1">
      <c r="A4" s="291" t="s">
        <v>2</v>
      </c>
      <c r="B4" s="292"/>
      <c r="C4" s="153" t="str">
        <f>_xlfn.CONCAT("31.12.",'0.Panel'!$B$3)</f>
        <v>31.12.2024</v>
      </c>
      <c r="D4" s="153" t="str">
        <f>_xlfn.CONCAT("31.12.",'0.Panel'!$B$3+1)</f>
        <v>31.12.2025</v>
      </c>
      <c r="E4" s="153" t="str">
        <f>_xlfn.CONCAT("31.12.",'0.Panel'!$B$3+2)</f>
        <v>31.12.2026</v>
      </c>
      <c r="F4" s="153" t="str">
        <f>_xlfn.CONCAT("31.12.",'0.Panel'!$B$3+3)</f>
        <v>31.12.2027</v>
      </c>
      <c r="G4" s="153" t="str">
        <f>_xlfn.CONCAT("31.12.",'0.Panel'!$B$3+4)</f>
        <v>31.12.2028</v>
      </c>
      <c r="H4" s="153" t="str">
        <f>_xlfn.CONCAT("31.12.",'0.Panel'!$B$3+5)</f>
        <v>31.12.2029</v>
      </c>
    </row>
    <row r="5" spans="1:11" ht="15.6" customHeight="1">
      <c r="A5" s="293" t="s">
        <v>3</v>
      </c>
      <c r="B5" s="294"/>
      <c r="C5" s="154">
        <f t="shared" ref="C5:H5" si="0">SUM(C6:C10)</f>
        <v>548100</v>
      </c>
      <c r="D5" s="154">
        <f t="shared" si="0"/>
        <v>523343</v>
      </c>
      <c r="E5" s="154">
        <f t="shared" si="0"/>
        <v>539043.29</v>
      </c>
      <c r="F5" s="154">
        <f t="shared" si="0"/>
        <v>555214.58869999996</v>
      </c>
      <c r="G5" s="154">
        <f t="shared" si="0"/>
        <v>571871.02636100003</v>
      </c>
      <c r="H5" s="154">
        <f t="shared" si="0"/>
        <v>589027.15715182992</v>
      </c>
    </row>
    <row r="6" spans="1:11" ht="15.6" customHeight="1">
      <c r="A6" s="287" t="s">
        <v>4</v>
      </c>
      <c r="B6" s="288"/>
      <c r="C6" s="155">
        <f>'7.Przychody'!B19</f>
        <v>508100</v>
      </c>
      <c r="D6" s="155">
        <f>'7.Przychody'!C19</f>
        <v>523343</v>
      </c>
      <c r="E6" s="155">
        <f>'7.Przychody'!D19</f>
        <v>539043.29</v>
      </c>
      <c r="F6" s="155">
        <f>'7.Przychody'!E19</f>
        <v>555214.58869999996</v>
      </c>
      <c r="G6" s="155">
        <f>'7.Przychody'!F19</f>
        <v>571871.02636100003</v>
      </c>
      <c r="H6" s="155">
        <f>'7.Przychody'!G19</f>
        <v>589027.15715182992</v>
      </c>
    </row>
    <row r="7" spans="1:11" ht="15.6" customHeight="1">
      <c r="A7" s="287" t="s">
        <v>5</v>
      </c>
      <c r="B7" s="288"/>
      <c r="C7" s="155">
        <f>'7.Przychody'!B38</f>
        <v>0</v>
      </c>
      <c r="D7" s="155">
        <f>'7.Przychody'!C38</f>
        <v>0</v>
      </c>
      <c r="E7" s="155">
        <f>'7.Przychody'!D38</f>
        <v>0</v>
      </c>
      <c r="F7" s="155">
        <f>'7.Przychody'!E38</f>
        <v>0</v>
      </c>
      <c r="G7" s="155">
        <f>'7.Przychody'!F38</f>
        <v>0</v>
      </c>
      <c r="H7" s="155">
        <f>'7.Przychody'!G38</f>
        <v>0</v>
      </c>
    </row>
    <row r="8" spans="1:11" ht="15.6" hidden="1" customHeight="1">
      <c r="A8" s="287" t="s">
        <v>6</v>
      </c>
      <c r="B8" s="288"/>
      <c r="C8" s="155"/>
      <c r="D8" s="155"/>
      <c r="E8" s="155"/>
      <c r="F8" s="155"/>
      <c r="G8" s="155"/>
      <c r="H8" s="155"/>
    </row>
    <row r="9" spans="1:11" ht="15.6" hidden="1" customHeight="1">
      <c r="A9" s="287" t="s">
        <v>7</v>
      </c>
      <c r="B9" s="288"/>
      <c r="C9" s="155"/>
      <c r="D9" s="155"/>
      <c r="E9" s="155"/>
      <c r="F9" s="155"/>
      <c r="G9" s="155"/>
      <c r="H9" s="155"/>
    </row>
    <row r="10" spans="1:11" ht="15.6" customHeight="1">
      <c r="A10" s="303" t="s">
        <v>281</v>
      </c>
      <c r="B10" s="304"/>
      <c r="C10" s="155">
        <f>'7.Przychody'!B57</f>
        <v>40000</v>
      </c>
      <c r="D10" s="155">
        <f>'7.Przychody'!C57</f>
        <v>0</v>
      </c>
      <c r="E10" s="155">
        <f>'7.Przychody'!D57</f>
        <v>0</v>
      </c>
      <c r="F10" s="155">
        <f>'7.Przychody'!E57</f>
        <v>0</v>
      </c>
      <c r="G10" s="155">
        <f>'7.Przychody'!F57</f>
        <v>0</v>
      </c>
      <c r="H10" s="155">
        <f>'7.Przychody'!G57</f>
        <v>0</v>
      </c>
    </row>
    <row r="11" spans="1:11" ht="15.6" customHeight="1">
      <c r="A11" s="300" t="s">
        <v>8</v>
      </c>
      <c r="B11" s="300"/>
      <c r="C11" s="154">
        <f t="shared" ref="C11:H11" si="1">SUM(C12:C19)</f>
        <v>423401.3438715837</v>
      </c>
      <c r="D11" s="154">
        <f t="shared" si="1"/>
        <v>435590.92467158369</v>
      </c>
      <c r="E11" s="154">
        <f t="shared" si="1"/>
        <v>447603.36070358369</v>
      </c>
      <c r="F11" s="154">
        <f t="shared" si="1"/>
        <v>455582.65417686367</v>
      </c>
      <c r="G11" s="154">
        <f t="shared" si="1"/>
        <v>466881.07938907493</v>
      </c>
      <c r="H11" s="154">
        <f t="shared" si="1"/>
        <v>459051.40160977456</v>
      </c>
    </row>
    <row r="12" spans="1:11" ht="15.6" customHeight="1">
      <c r="A12" s="305" t="s">
        <v>9</v>
      </c>
      <c r="B12" s="306"/>
      <c r="C12" s="155">
        <f>'3.Środki trwałe'!B45</f>
        <v>16460</v>
      </c>
      <c r="D12" s="155">
        <f>'3.Środki trwałe'!C45</f>
        <v>19640</v>
      </c>
      <c r="E12" s="155">
        <f>'3.Środki trwałe'!D45</f>
        <v>23980</v>
      </c>
      <c r="F12" s="155">
        <f>'3.Środki trwałe'!E45</f>
        <v>23980</v>
      </c>
      <c r="G12" s="155">
        <f>'3.Środki trwałe'!F45</f>
        <v>26980</v>
      </c>
      <c r="H12" s="155">
        <f>'3.Środki trwałe'!G45</f>
        <v>10520</v>
      </c>
    </row>
    <row r="13" spans="1:11" ht="15.6" customHeight="1">
      <c r="A13" s="287" t="s">
        <v>224</v>
      </c>
      <c r="B13" s="288"/>
      <c r="C13" s="155">
        <f>'6.2.Koszty zmienne'!B5+'4.Koszty stałe'!B12</f>
        <v>221734.49599999998</v>
      </c>
      <c r="D13" s="155">
        <f>'6.2.Koszty zmienne'!C5+'4.Koszty stałe'!C12</f>
        <v>222010.49599999998</v>
      </c>
      <c r="E13" s="155">
        <f>'6.2.Koszty zmienne'!D5+'4.Koszty stałe'!D12</f>
        <v>222297.53599999999</v>
      </c>
      <c r="F13" s="155">
        <f>'6.2.Koszty zmienne'!E5+'4.Koszty stałe'!E12</f>
        <v>222596.05759999997</v>
      </c>
      <c r="G13" s="155">
        <f>'6.2.Koszty zmienne'!F5+'4.Koszty stałe'!F12</f>
        <v>222906.52006399998</v>
      </c>
      <c r="H13" s="155">
        <f>'6.2.Koszty zmienne'!G5+'4.Koszty stałe'!G12</f>
        <v>223229.40102655999</v>
      </c>
    </row>
    <row r="14" spans="1:11" ht="15.6" customHeight="1">
      <c r="A14" s="287" t="s">
        <v>10</v>
      </c>
      <c r="B14" s="288"/>
      <c r="C14" s="155">
        <f>'4.Koszty stałe'!B79</f>
        <v>124469.52</v>
      </c>
      <c r="D14" s="155">
        <f>'4.Koszty stałe'!C79</f>
        <v>129448.3008</v>
      </c>
      <c r="E14" s="155">
        <f>'4.Koszty stałe'!D79</f>
        <v>134626.23283200001</v>
      </c>
      <c r="F14" s="155">
        <f>'4.Koszty stałe'!E79</f>
        <v>140011.28214528001</v>
      </c>
      <c r="G14" s="155">
        <f>'4.Koszty stałe'!F79</f>
        <v>145611.73343109121</v>
      </c>
      <c r="H14" s="155">
        <f>'4.Koszty stałe'!G79</f>
        <v>151436.20276833486</v>
      </c>
    </row>
    <row r="15" spans="1:11" ht="15.6" customHeight="1">
      <c r="A15" s="287" t="s">
        <v>11</v>
      </c>
      <c r="B15" s="288"/>
      <c r="C15" s="155">
        <f>'4.Koszty stałe'!B101</f>
        <v>25440</v>
      </c>
      <c r="D15" s="155">
        <f>'4.Koszty stałe'!C101</f>
        <v>26457.599999999999</v>
      </c>
      <c r="E15" s="155">
        <f>'4.Koszty stałe'!D101</f>
        <v>27515.904000000002</v>
      </c>
      <c r="F15" s="155">
        <f>'4.Koszty stałe'!E101</f>
        <v>28616.54016</v>
      </c>
      <c r="G15" s="155">
        <f>'4.Koszty stałe'!F101</f>
        <v>29761.201766399998</v>
      </c>
      <c r="H15" s="155">
        <f>'4.Koszty stałe'!G101</f>
        <v>30951.649837056</v>
      </c>
    </row>
    <row r="16" spans="1:11" ht="15.6" customHeight="1">
      <c r="A16" s="287" t="s">
        <v>12</v>
      </c>
      <c r="B16" s="288"/>
      <c r="C16" s="155">
        <f>'4.Koszty stałe'!B108</f>
        <v>7305.5278715837167</v>
      </c>
      <c r="D16" s="155">
        <f>'4.Koszty stałe'!C108</f>
        <v>7305.5278715837167</v>
      </c>
      <c r="E16" s="155">
        <f>'4.Koszty stałe'!D108</f>
        <v>7305.5278715837167</v>
      </c>
      <c r="F16" s="155">
        <f>'4.Koszty stałe'!E108</f>
        <v>7305.5278715837167</v>
      </c>
      <c r="G16" s="155">
        <f>'4.Koszty stałe'!F108</f>
        <v>7305.5278715837167</v>
      </c>
      <c r="H16" s="155">
        <f>'4.Koszty stałe'!G108</f>
        <v>7305.5278715837167</v>
      </c>
    </row>
    <row r="17" spans="1:8" ht="15.6" customHeight="1">
      <c r="A17" s="287" t="str">
        <f>'4.Koszty stałe'!A111</f>
        <v xml:space="preserve">  Koszty inne rodzajowe</v>
      </c>
      <c r="B17" s="288"/>
      <c r="C17" s="155">
        <f>'4.Koszty stałe'!B128</f>
        <v>0</v>
      </c>
      <c r="D17" s="155">
        <f>'4.Koszty stałe'!C128</f>
        <v>0</v>
      </c>
      <c r="E17" s="155">
        <f>'4.Koszty stałe'!D128</f>
        <v>0</v>
      </c>
      <c r="F17" s="155">
        <f>'4.Koszty stałe'!E128</f>
        <v>0</v>
      </c>
      <c r="G17" s="155">
        <f>'4.Koszty stałe'!F128</f>
        <v>0</v>
      </c>
      <c r="H17" s="155">
        <f>'4.Koszty stałe'!G128</f>
        <v>0</v>
      </c>
    </row>
    <row r="18" spans="1:8" ht="15.6" customHeight="1">
      <c r="A18" s="287" t="s">
        <v>13</v>
      </c>
      <c r="B18" s="288"/>
      <c r="C18" s="155">
        <f>'4.Koszty stałe'!B152</f>
        <v>27991.8</v>
      </c>
      <c r="D18" s="155">
        <f>'4.Koszty stałe'!C152</f>
        <v>30729</v>
      </c>
      <c r="E18" s="155">
        <f>'4.Koszty stałe'!D152</f>
        <v>31878.160000000003</v>
      </c>
      <c r="F18" s="155">
        <f>'4.Koszty stałe'!E152</f>
        <v>33073.246400000004</v>
      </c>
      <c r="G18" s="155">
        <f>'4.Koszty stałe'!F152</f>
        <v>34316.096256000004</v>
      </c>
      <c r="H18" s="155">
        <f>'4.Koszty stałe'!G152</f>
        <v>35608.62010624</v>
      </c>
    </row>
    <row r="19" spans="1:8" ht="15.6" hidden="1" customHeight="1">
      <c r="A19" s="303" t="s">
        <v>14</v>
      </c>
      <c r="B19" s="304"/>
      <c r="C19" s="155"/>
      <c r="D19" s="155"/>
      <c r="E19" s="155"/>
      <c r="F19" s="155"/>
      <c r="G19" s="155"/>
      <c r="H19" s="155"/>
    </row>
    <row r="20" spans="1:8" ht="15.6" customHeight="1">
      <c r="A20" s="301" t="s">
        <v>15</v>
      </c>
      <c r="B20" s="302"/>
      <c r="C20" s="156">
        <f t="shared" ref="C20:H20" si="2">C5-C11</f>
        <v>124698.6561284163</v>
      </c>
      <c r="D20" s="156">
        <f t="shared" si="2"/>
        <v>87752.075328416307</v>
      </c>
      <c r="E20" s="156">
        <f t="shared" si="2"/>
        <v>91439.929296416347</v>
      </c>
      <c r="F20" s="156">
        <f t="shared" si="2"/>
        <v>99631.934523136297</v>
      </c>
      <c r="G20" s="156">
        <f t="shared" si="2"/>
        <v>104989.94697192509</v>
      </c>
      <c r="H20" s="156">
        <f t="shared" si="2"/>
        <v>129975.75554205535</v>
      </c>
    </row>
    <row r="21" spans="1:8" ht="15.6" customHeight="1">
      <c r="A21" s="300" t="s">
        <v>16</v>
      </c>
      <c r="B21" s="300"/>
      <c r="C21" s="154">
        <f t="shared" ref="C21:H21" si="3">C20*19%</f>
        <v>23692.744664399099</v>
      </c>
      <c r="D21" s="154">
        <f t="shared" si="3"/>
        <v>16672.894312399098</v>
      </c>
      <c r="E21" s="154">
        <f t="shared" si="3"/>
        <v>17373.586566319107</v>
      </c>
      <c r="F21" s="154">
        <f t="shared" si="3"/>
        <v>18930.067559395895</v>
      </c>
      <c r="G21" s="154">
        <f t="shared" si="3"/>
        <v>19948.089924665768</v>
      </c>
      <c r="H21" s="154">
        <f t="shared" si="3"/>
        <v>24695.393552990517</v>
      </c>
    </row>
    <row r="22" spans="1:8" ht="15.6" customHeight="1">
      <c r="A22" s="301" t="s">
        <v>17</v>
      </c>
      <c r="B22" s="302"/>
      <c r="C22" s="156">
        <f t="shared" ref="C22:H22" si="4">C20-C21</f>
        <v>101005.9114640172</v>
      </c>
      <c r="D22" s="156">
        <f t="shared" si="4"/>
        <v>71079.181016017217</v>
      </c>
      <c r="E22" s="156">
        <f t="shared" si="4"/>
        <v>74066.34273009724</v>
      </c>
      <c r="F22" s="156">
        <f t="shared" si="4"/>
        <v>80701.866963740409</v>
      </c>
      <c r="G22" s="156">
        <f t="shared" si="4"/>
        <v>85041.857047259327</v>
      </c>
      <c r="H22" s="156">
        <f t="shared" si="4"/>
        <v>105280.36198906484</v>
      </c>
    </row>
    <row r="23" spans="1:8">
      <c r="A23" s="299"/>
      <c r="B23" s="299"/>
    </row>
    <row r="24" spans="1:8">
      <c r="A24" s="158"/>
      <c r="B24" s="158"/>
    </row>
    <row r="25" spans="1:8">
      <c r="A25" s="159" t="s">
        <v>140</v>
      </c>
    </row>
    <row r="26" spans="1:8">
      <c r="A26" s="286" t="s">
        <v>136</v>
      </c>
      <c r="B26" s="281"/>
      <c r="C26" s="86">
        <f>'9.Kredyt'!F16</f>
        <v>21829.253866666659</v>
      </c>
    </row>
    <row r="27" spans="1:8">
      <c r="A27" s="160" t="s">
        <v>219</v>
      </c>
      <c r="B27" s="157"/>
      <c r="C27" s="23">
        <f>'6.1.Kwota na materiały'!B5/(12-'9.Kredyt'!F5)</f>
        <v>21483.4496</v>
      </c>
    </row>
    <row r="28" spans="1:8">
      <c r="A28" s="161" t="s">
        <v>218</v>
      </c>
      <c r="B28" s="23"/>
      <c r="C28" s="23">
        <f>C22*25%</f>
        <v>25251.477866004301</v>
      </c>
    </row>
    <row r="29" spans="1:8">
      <c r="A29" s="23" t="s">
        <v>220</v>
      </c>
      <c r="C29" s="87">
        <v>10000</v>
      </c>
    </row>
    <row r="30" spans="1:8">
      <c r="A30" s="23"/>
      <c r="B30" s="162" t="s">
        <v>141</v>
      </c>
      <c r="C30" s="88">
        <f>SUM(C26:C29)</f>
        <v>78564.181332670967</v>
      </c>
    </row>
    <row r="31" spans="1:8">
      <c r="C31" s="23">
        <f>C22-C30</f>
        <v>22441.730131346238</v>
      </c>
      <c r="D31" s="19">
        <f>100%-C31/C22</f>
        <v>0.77781765635231181</v>
      </c>
    </row>
    <row r="32" spans="1:8">
      <c r="C32" s="23">
        <f>C31/K2</f>
        <v>11220.865065673119</v>
      </c>
      <c r="D32" s="23" t="s">
        <v>137</v>
      </c>
    </row>
  </sheetData>
  <sheetProtection algorithmName="SHA-512" hashValue="+QSrOqwYOoxKfjpvFMnOLBU8a2JHBOS7UNgTzkNRfyK0hpzXlJCO6iZa04xXMPTNYiJPicV2ryaovI+ud5+sfw==" saltValue="1/HMFdDMbhTmlGD+5EYR9g==" spinCount="100000" sheet="1" scenarios="1"/>
  <mergeCells count="25">
    <mergeCell ref="A1:F1"/>
    <mergeCell ref="A15:B15"/>
    <mergeCell ref="A21:B21"/>
    <mergeCell ref="A22:B22"/>
    <mergeCell ref="A10:B10"/>
    <mergeCell ref="A11:B11"/>
    <mergeCell ref="A12:B12"/>
    <mergeCell ref="A13:B13"/>
    <mergeCell ref="A14:B14"/>
    <mergeCell ref="A20:B20"/>
    <mergeCell ref="A16:B16"/>
    <mergeCell ref="A17:B17"/>
    <mergeCell ref="A18:B18"/>
    <mergeCell ref="A19:B19"/>
    <mergeCell ref="A26:B26"/>
    <mergeCell ref="A9:B9"/>
    <mergeCell ref="A2:A3"/>
    <mergeCell ref="A4:B4"/>
    <mergeCell ref="A5:B5"/>
    <mergeCell ref="A6:B6"/>
    <mergeCell ref="A7:B7"/>
    <mergeCell ref="A8:B8"/>
    <mergeCell ref="B3:H3"/>
    <mergeCell ref="B2:H2"/>
    <mergeCell ref="A23:B23"/>
  </mergeCells>
  <phoneticPr fontId="14" type="noConversion"/>
  <pageMargins left="0.75" right="0.75" top="1" bottom="1" header="0.3" footer="0.3"/>
  <pageSetup paperSize="9" orientation="landscape" copies="12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Arkusz8">
    <tabColor rgb="FF00B0F0"/>
  </sheetPr>
  <dimension ref="A1:H67"/>
  <sheetViews>
    <sheetView zoomScale="85" zoomScaleNormal="85" workbookViewId="0">
      <selection activeCell="K14" sqref="K14"/>
    </sheetView>
  </sheetViews>
  <sheetFormatPr defaultColWidth="11" defaultRowHeight="16.8"/>
  <cols>
    <col min="1" max="1" width="27.3984375" style="85" customWidth="1"/>
    <col min="2" max="2" width="13.5" style="54" bestFit="1" customWidth="1"/>
    <col min="3" max="7" width="13.5" style="85" bestFit="1" customWidth="1"/>
    <col min="8" max="8" width="42.5" style="85" bestFit="1" customWidth="1"/>
    <col min="9" max="16384" width="11" style="85"/>
  </cols>
  <sheetData>
    <row r="1" spans="1:8" ht="75" customHeight="1">
      <c r="A1" s="268" t="s">
        <v>402</v>
      </c>
      <c r="B1" s="269"/>
      <c r="C1" s="269"/>
      <c r="D1" s="269"/>
      <c r="E1" s="269"/>
      <c r="F1" s="269"/>
    </row>
    <row r="2" spans="1:8" ht="17.399999999999999">
      <c r="A2" s="282" t="s">
        <v>223</v>
      </c>
      <c r="B2" s="283"/>
      <c r="C2" s="285"/>
      <c r="D2" s="285"/>
      <c r="E2" s="285"/>
      <c r="F2" s="285"/>
      <c r="G2" s="285"/>
      <c r="H2" s="36" t="s">
        <v>295</v>
      </c>
    </row>
    <row r="3" spans="1:8" ht="17.399999999999999">
      <c r="A3" s="307" t="s">
        <v>19</v>
      </c>
      <c r="B3" s="308"/>
      <c r="C3" s="308"/>
      <c r="D3" s="308"/>
      <c r="E3" s="308"/>
      <c r="F3" s="308"/>
      <c r="G3" s="308"/>
      <c r="H3" s="131"/>
    </row>
    <row r="4" spans="1:8">
      <c r="A4" s="163" t="s">
        <v>223</v>
      </c>
      <c r="B4" s="163">
        <f>'0.Panel'!$B$3</f>
        <v>2024</v>
      </c>
      <c r="C4" s="163">
        <f>B4+1</f>
        <v>2025</v>
      </c>
      <c r="D4" s="163">
        <f>C4+1</f>
        <v>2026</v>
      </c>
      <c r="E4" s="163">
        <f>D4+1</f>
        <v>2027</v>
      </c>
      <c r="F4" s="163">
        <f>E4+1</f>
        <v>2028</v>
      </c>
      <c r="G4" s="163">
        <f>F4+1</f>
        <v>2029</v>
      </c>
      <c r="H4" s="85" t="s">
        <v>254</v>
      </c>
    </row>
    <row r="5" spans="1:8">
      <c r="A5" s="15" t="s">
        <v>321</v>
      </c>
      <c r="B5" s="16">
        <v>5000</v>
      </c>
      <c r="C5" s="16">
        <v>5000</v>
      </c>
      <c r="D5" s="16">
        <v>5000</v>
      </c>
      <c r="E5" s="16">
        <v>5000</v>
      </c>
      <c r="F5" s="16">
        <v>5000</v>
      </c>
      <c r="G5" s="16">
        <v>5000</v>
      </c>
      <c r="H5" s="85" t="s">
        <v>255</v>
      </c>
    </row>
    <row r="6" spans="1:8">
      <c r="A6" s="15" t="s">
        <v>322</v>
      </c>
      <c r="B6" s="16">
        <v>4500</v>
      </c>
      <c r="C6" s="16">
        <v>4500</v>
      </c>
      <c r="D6" s="16">
        <v>4500</v>
      </c>
      <c r="E6" s="16">
        <v>4500</v>
      </c>
      <c r="F6" s="16">
        <v>4500</v>
      </c>
      <c r="G6" s="16">
        <v>4500</v>
      </c>
      <c r="H6" s="85" t="s">
        <v>275</v>
      </c>
    </row>
    <row r="7" spans="1:8" ht="17.399999999999999">
      <c r="A7" s="15" t="s">
        <v>323</v>
      </c>
      <c r="B7" s="16">
        <v>10000</v>
      </c>
      <c r="C7" s="16">
        <v>10000</v>
      </c>
      <c r="D7" s="16">
        <v>10000</v>
      </c>
      <c r="E7" s="16">
        <v>10000</v>
      </c>
      <c r="F7" s="16">
        <v>10000</v>
      </c>
      <c r="G7" s="16">
        <v>10000</v>
      </c>
      <c r="H7" s="131" t="s">
        <v>256</v>
      </c>
    </row>
    <row r="8" spans="1:8">
      <c r="A8" s="15" t="s">
        <v>324</v>
      </c>
      <c r="B8" s="16">
        <v>3700</v>
      </c>
      <c r="C8" s="16">
        <v>3700</v>
      </c>
      <c r="D8" s="16">
        <v>3700</v>
      </c>
      <c r="E8" s="16">
        <v>3700</v>
      </c>
      <c r="F8" s="16">
        <v>3700</v>
      </c>
      <c r="G8" s="16">
        <v>3700</v>
      </c>
    </row>
    <row r="9" spans="1:8">
      <c r="A9" s="15" t="s">
        <v>325</v>
      </c>
      <c r="B9" s="16">
        <v>5000</v>
      </c>
      <c r="C9" s="16">
        <v>5000</v>
      </c>
      <c r="D9" s="16">
        <v>5000</v>
      </c>
      <c r="E9" s="16">
        <v>5000</v>
      </c>
      <c r="F9" s="16">
        <v>5000</v>
      </c>
      <c r="G9" s="16">
        <v>5000</v>
      </c>
    </row>
    <row r="10" spans="1:8">
      <c r="A10" s="15" t="s">
        <v>326</v>
      </c>
      <c r="B10" s="16">
        <v>8500</v>
      </c>
      <c r="C10" s="16">
        <v>8500</v>
      </c>
      <c r="D10" s="16">
        <v>8500</v>
      </c>
      <c r="E10" s="16">
        <v>8500</v>
      </c>
      <c r="F10" s="16">
        <v>8500</v>
      </c>
      <c r="G10" s="16">
        <v>8500</v>
      </c>
    </row>
    <row r="11" spans="1:8">
      <c r="A11" s="15" t="s">
        <v>327</v>
      </c>
      <c r="B11" s="16">
        <v>26500</v>
      </c>
      <c r="C11" s="16">
        <v>26500</v>
      </c>
      <c r="D11" s="16">
        <v>26500</v>
      </c>
      <c r="E11" s="16">
        <v>26500</v>
      </c>
      <c r="F11" s="16">
        <v>26500</v>
      </c>
      <c r="G11" s="16">
        <v>26500</v>
      </c>
    </row>
    <row r="12" spans="1:8">
      <c r="A12" s="15" t="s">
        <v>328</v>
      </c>
      <c r="B12" s="16">
        <v>11600</v>
      </c>
      <c r="C12" s="16">
        <v>11600</v>
      </c>
      <c r="D12" s="16">
        <v>11600</v>
      </c>
      <c r="E12" s="16">
        <v>11600</v>
      </c>
      <c r="F12" s="16">
        <v>11600</v>
      </c>
      <c r="G12" s="16">
        <v>11600</v>
      </c>
    </row>
    <row r="13" spans="1:8">
      <c r="A13" s="15" t="s">
        <v>329</v>
      </c>
      <c r="B13" s="16">
        <v>4000</v>
      </c>
      <c r="C13" s="16">
        <v>4000</v>
      </c>
      <c r="D13" s="16">
        <v>4000</v>
      </c>
      <c r="E13" s="16">
        <v>4000</v>
      </c>
      <c r="F13" s="16">
        <v>4000</v>
      </c>
      <c r="G13" s="16">
        <v>4000</v>
      </c>
    </row>
    <row r="14" spans="1:8">
      <c r="A14" s="15" t="s">
        <v>321</v>
      </c>
      <c r="B14" s="16"/>
      <c r="C14" s="16">
        <v>4000</v>
      </c>
      <c r="D14" s="16">
        <v>4000</v>
      </c>
      <c r="E14" s="16">
        <v>4000</v>
      </c>
      <c r="F14" s="16">
        <v>4000</v>
      </c>
      <c r="G14" s="16">
        <v>4000</v>
      </c>
    </row>
    <row r="15" spans="1:8">
      <c r="A15" s="15" t="s">
        <v>329</v>
      </c>
      <c r="B15" s="16"/>
      <c r="C15" s="16">
        <v>4000</v>
      </c>
      <c r="D15" s="16">
        <v>4000</v>
      </c>
      <c r="E15" s="16">
        <v>4000</v>
      </c>
      <c r="F15" s="16">
        <v>4000</v>
      </c>
      <c r="G15" s="16">
        <v>4000</v>
      </c>
    </row>
    <row r="16" spans="1:8">
      <c r="A16" s="15" t="s">
        <v>330</v>
      </c>
      <c r="B16" s="16"/>
      <c r="C16" s="16">
        <v>3900</v>
      </c>
      <c r="D16" s="16">
        <v>3900</v>
      </c>
      <c r="E16" s="16">
        <v>3900</v>
      </c>
      <c r="F16" s="16">
        <v>3900</v>
      </c>
      <c r="G16" s="16">
        <v>3900</v>
      </c>
    </row>
    <row r="17" spans="1:7">
      <c r="A17" s="15" t="s">
        <v>331</v>
      </c>
      <c r="B17" s="16"/>
      <c r="C17" s="16">
        <v>4000</v>
      </c>
      <c r="D17" s="16">
        <v>4000</v>
      </c>
      <c r="E17" s="16">
        <v>4000</v>
      </c>
      <c r="F17" s="16">
        <v>4000</v>
      </c>
      <c r="G17" s="16">
        <v>4000</v>
      </c>
    </row>
    <row r="18" spans="1:7">
      <c r="A18" s="15" t="s">
        <v>332</v>
      </c>
      <c r="B18" s="16"/>
      <c r="C18" s="16"/>
      <c r="D18" s="16">
        <v>10000</v>
      </c>
      <c r="E18" s="16">
        <f>D18</f>
        <v>10000</v>
      </c>
      <c r="F18" s="16">
        <f>E18</f>
        <v>10000</v>
      </c>
      <c r="G18" s="16">
        <f>F18</f>
        <v>10000</v>
      </c>
    </row>
    <row r="19" spans="1:7">
      <c r="A19" s="15" t="s">
        <v>324</v>
      </c>
      <c r="B19" s="16"/>
      <c r="C19" s="16"/>
      <c r="D19" s="16">
        <v>3700</v>
      </c>
      <c r="E19" s="16">
        <v>3700</v>
      </c>
      <c r="F19" s="16">
        <v>3700</v>
      </c>
      <c r="G19" s="16">
        <v>3700</v>
      </c>
    </row>
    <row r="20" spans="1:7">
      <c r="A20" s="15" t="s">
        <v>323</v>
      </c>
      <c r="B20" s="16"/>
      <c r="C20" s="16"/>
      <c r="D20" s="16">
        <v>8000</v>
      </c>
      <c r="E20" s="16">
        <v>8000</v>
      </c>
      <c r="F20" s="16">
        <v>8000</v>
      </c>
      <c r="G20" s="16">
        <v>8000</v>
      </c>
    </row>
    <row r="21" spans="1:7">
      <c r="A21" s="15" t="s">
        <v>333</v>
      </c>
      <c r="B21" s="16"/>
      <c r="C21" s="16"/>
      <c r="D21" s="16"/>
      <c r="E21" s="16"/>
      <c r="F21" s="16">
        <v>15000</v>
      </c>
      <c r="G21" s="16">
        <v>15000</v>
      </c>
    </row>
    <row r="22" spans="1:7">
      <c r="A22" s="15" t="s">
        <v>334</v>
      </c>
      <c r="B22" s="16">
        <v>3500</v>
      </c>
      <c r="C22" s="16">
        <v>3500</v>
      </c>
      <c r="D22" s="16">
        <v>3500</v>
      </c>
      <c r="E22" s="16">
        <v>3500</v>
      </c>
      <c r="F22" s="16">
        <v>3500</v>
      </c>
      <c r="G22" s="16">
        <v>3500</v>
      </c>
    </row>
    <row r="23" spans="1:7">
      <c r="A23" s="164" t="s">
        <v>18</v>
      </c>
      <c r="B23" s="165">
        <f t="shared" ref="B23:G23" si="0">SUM(B5:B22)</f>
        <v>82300</v>
      </c>
      <c r="C23" s="165">
        <f t="shared" si="0"/>
        <v>98200</v>
      </c>
      <c r="D23" s="165">
        <f t="shared" si="0"/>
        <v>119900</v>
      </c>
      <c r="E23" s="165">
        <f t="shared" si="0"/>
        <v>119900</v>
      </c>
      <c r="F23" s="165">
        <f t="shared" si="0"/>
        <v>134900</v>
      </c>
      <c r="G23" s="165">
        <f t="shared" si="0"/>
        <v>134900</v>
      </c>
    </row>
    <row r="25" spans="1:7">
      <c r="A25" s="309" t="s">
        <v>20</v>
      </c>
      <c r="B25" s="310"/>
      <c r="C25" s="310"/>
      <c r="D25" s="310"/>
      <c r="E25" s="310"/>
      <c r="F25" s="310"/>
      <c r="G25" s="310"/>
    </row>
    <row r="26" spans="1:7">
      <c r="A26" s="166" t="s">
        <v>223</v>
      </c>
      <c r="B26" s="167">
        <f>'0.Panel'!$B$3</f>
        <v>2024</v>
      </c>
      <c r="C26" s="166">
        <f>B26+1</f>
        <v>2025</v>
      </c>
      <c r="D26" s="166">
        <f>C26+1</f>
        <v>2026</v>
      </c>
      <c r="E26" s="166">
        <f>D26+1</f>
        <v>2027</v>
      </c>
      <c r="F26" s="166">
        <f>E26+1</f>
        <v>2028</v>
      </c>
      <c r="G26" s="166">
        <f>F26+1</f>
        <v>2029</v>
      </c>
    </row>
    <row r="27" spans="1:7">
      <c r="A27" s="166" t="str">
        <f t="shared" ref="A27:A44" si="1">A5</f>
        <v>Komputer</v>
      </c>
      <c r="B27" s="168">
        <f t="shared" ref="B27:F36" si="2">B5*20%</f>
        <v>1000</v>
      </c>
      <c r="C27" s="168">
        <f t="shared" si="2"/>
        <v>1000</v>
      </c>
      <c r="D27" s="168">
        <f t="shared" si="2"/>
        <v>1000</v>
      </c>
      <c r="E27" s="168">
        <f t="shared" si="2"/>
        <v>1000</v>
      </c>
      <c r="F27" s="168">
        <f t="shared" si="2"/>
        <v>1000</v>
      </c>
      <c r="G27" s="168">
        <v>0</v>
      </c>
    </row>
    <row r="28" spans="1:7">
      <c r="A28" s="166" t="str">
        <f t="shared" si="1"/>
        <v>Urządzenie wielofunkcyjne</v>
      </c>
      <c r="B28" s="168">
        <f t="shared" si="2"/>
        <v>900</v>
      </c>
      <c r="C28" s="168">
        <f t="shared" si="2"/>
        <v>900</v>
      </c>
      <c r="D28" s="168">
        <f t="shared" si="2"/>
        <v>900</v>
      </c>
      <c r="E28" s="168">
        <f t="shared" si="2"/>
        <v>900</v>
      </c>
      <c r="F28" s="168">
        <f t="shared" si="2"/>
        <v>900</v>
      </c>
      <c r="G28" s="168">
        <v>0</v>
      </c>
    </row>
    <row r="29" spans="1:7">
      <c r="A29" s="166" t="str">
        <f t="shared" si="1"/>
        <v>Zestaw mebli</v>
      </c>
      <c r="B29" s="168">
        <f t="shared" si="2"/>
        <v>2000</v>
      </c>
      <c r="C29" s="168">
        <f t="shared" si="2"/>
        <v>2000</v>
      </c>
      <c r="D29" s="168">
        <f t="shared" si="2"/>
        <v>2000</v>
      </c>
      <c r="E29" s="168">
        <f t="shared" si="2"/>
        <v>2000</v>
      </c>
      <c r="F29" s="168">
        <f t="shared" si="2"/>
        <v>2000</v>
      </c>
      <c r="G29" s="168">
        <v>0</v>
      </c>
    </row>
    <row r="30" spans="1:7">
      <c r="A30" s="166" t="str">
        <f t="shared" si="1"/>
        <v>Overlock 4-nitkowy</v>
      </c>
      <c r="B30" s="168">
        <f t="shared" si="2"/>
        <v>740</v>
      </c>
      <c r="C30" s="168">
        <f t="shared" si="2"/>
        <v>740</v>
      </c>
      <c r="D30" s="168">
        <f t="shared" si="2"/>
        <v>740</v>
      </c>
      <c r="E30" s="168">
        <f t="shared" si="2"/>
        <v>740</v>
      </c>
      <c r="F30" s="168">
        <f t="shared" si="2"/>
        <v>740</v>
      </c>
      <c r="G30" s="168">
        <v>0</v>
      </c>
    </row>
    <row r="31" spans="1:7">
      <c r="A31" s="166" t="str">
        <f t="shared" si="1"/>
        <v>Guzikarka bieliźniana</v>
      </c>
      <c r="B31" s="168">
        <f t="shared" si="2"/>
        <v>1000</v>
      </c>
      <c r="C31" s="168">
        <f t="shared" si="2"/>
        <v>1000</v>
      </c>
      <c r="D31" s="168">
        <f t="shared" si="2"/>
        <v>1000</v>
      </c>
      <c r="E31" s="168">
        <f t="shared" si="2"/>
        <v>1000</v>
      </c>
      <c r="F31" s="168">
        <f t="shared" si="2"/>
        <v>1000</v>
      </c>
      <c r="G31" s="168">
        <v>0</v>
      </c>
    </row>
    <row r="32" spans="1:7">
      <c r="A32" s="166" t="str">
        <f t="shared" si="1"/>
        <v>Dziurkarka bieliźniana</v>
      </c>
      <c r="B32" s="168">
        <f t="shared" si="2"/>
        <v>1700</v>
      </c>
      <c r="C32" s="168">
        <f t="shared" si="2"/>
        <v>1700</v>
      </c>
      <c r="D32" s="168">
        <f t="shared" si="2"/>
        <v>1700</v>
      </c>
      <c r="E32" s="168">
        <f t="shared" si="2"/>
        <v>1700</v>
      </c>
      <c r="F32" s="168">
        <f t="shared" si="2"/>
        <v>1700</v>
      </c>
      <c r="G32" s="168">
        <v>0</v>
      </c>
    </row>
    <row r="33" spans="1:7">
      <c r="A33" s="166" t="str">
        <f t="shared" si="1"/>
        <v>Ploter</v>
      </c>
      <c r="B33" s="168">
        <f t="shared" si="2"/>
        <v>5300</v>
      </c>
      <c r="C33" s="168">
        <f t="shared" si="2"/>
        <v>5300</v>
      </c>
      <c r="D33" s="168">
        <f t="shared" si="2"/>
        <v>5300</v>
      </c>
      <c r="E33" s="168">
        <f t="shared" si="2"/>
        <v>5300</v>
      </c>
      <c r="F33" s="168">
        <f t="shared" si="2"/>
        <v>5300</v>
      </c>
      <c r="G33" s="168">
        <v>0</v>
      </c>
    </row>
    <row r="34" spans="1:7">
      <c r="A34" s="166" t="str">
        <f t="shared" si="1"/>
        <v>System CAD</v>
      </c>
      <c r="B34" s="168">
        <f t="shared" si="2"/>
        <v>2320</v>
      </c>
      <c r="C34" s="168">
        <f t="shared" si="2"/>
        <v>2320</v>
      </c>
      <c r="D34" s="168">
        <f t="shared" si="2"/>
        <v>2320</v>
      </c>
      <c r="E34" s="168">
        <f t="shared" si="2"/>
        <v>2320</v>
      </c>
      <c r="F34" s="168">
        <f t="shared" si="2"/>
        <v>2320</v>
      </c>
      <c r="G34" s="168">
        <v>0</v>
      </c>
    </row>
    <row r="35" spans="1:7">
      <c r="A35" s="166" t="str">
        <f t="shared" si="1"/>
        <v>Stębnówki</v>
      </c>
      <c r="B35" s="168">
        <f t="shared" si="2"/>
        <v>800</v>
      </c>
      <c r="C35" s="168">
        <f t="shared" si="2"/>
        <v>800</v>
      </c>
      <c r="D35" s="168">
        <f t="shared" si="2"/>
        <v>800</v>
      </c>
      <c r="E35" s="168">
        <f t="shared" si="2"/>
        <v>800</v>
      </c>
      <c r="F35" s="168">
        <f t="shared" si="2"/>
        <v>800</v>
      </c>
      <c r="G35" s="168">
        <v>0</v>
      </c>
    </row>
    <row r="36" spans="1:7">
      <c r="A36" s="166" t="str">
        <f t="shared" si="1"/>
        <v>Komputer</v>
      </c>
      <c r="B36" s="168">
        <f t="shared" si="2"/>
        <v>0</v>
      </c>
      <c r="C36" s="168">
        <f t="shared" si="2"/>
        <v>800</v>
      </c>
      <c r="D36" s="168">
        <f t="shared" si="2"/>
        <v>800</v>
      </c>
      <c r="E36" s="168">
        <f t="shared" si="2"/>
        <v>800</v>
      </c>
      <c r="F36" s="168">
        <f t="shared" si="2"/>
        <v>800</v>
      </c>
      <c r="G36" s="168">
        <f t="shared" ref="G36:G43" si="3">G14*20%</f>
        <v>800</v>
      </c>
    </row>
    <row r="37" spans="1:7">
      <c r="A37" s="166" t="str">
        <f t="shared" si="1"/>
        <v>Stębnówki</v>
      </c>
      <c r="B37" s="168">
        <f t="shared" ref="B37:F44" si="4">B15*20%</f>
        <v>0</v>
      </c>
      <c r="C37" s="168">
        <f t="shared" si="4"/>
        <v>800</v>
      </c>
      <c r="D37" s="168">
        <f t="shared" si="4"/>
        <v>800</v>
      </c>
      <c r="E37" s="168">
        <f t="shared" si="4"/>
        <v>800</v>
      </c>
      <c r="F37" s="168">
        <f t="shared" si="4"/>
        <v>800</v>
      </c>
      <c r="G37" s="168">
        <f t="shared" si="3"/>
        <v>800</v>
      </c>
    </row>
    <row r="38" spans="1:7">
      <c r="A38" s="166" t="str">
        <f t="shared" si="1"/>
        <v>Overlock 5-nitkowy</v>
      </c>
      <c r="B38" s="168">
        <f t="shared" si="4"/>
        <v>0</v>
      </c>
      <c r="C38" s="168">
        <f t="shared" si="4"/>
        <v>780</v>
      </c>
      <c r="D38" s="168">
        <f t="shared" si="4"/>
        <v>780</v>
      </c>
      <c r="E38" s="168">
        <f t="shared" si="4"/>
        <v>780</v>
      </c>
      <c r="F38" s="168">
        <f t="shared" si="4"/>
        <v>780</v>
      </c>
      <c r="G38" s="168">
        <f t="shared" si="3"/>
        <v>780</v>
      </c>
    </row>
    <row r="39" spans="1:7">
      <c r="A39" s="166" t="str">
        <f t="shared" si="1"/>
        <v xml:space="preserve">Skaner </v>
      </c>
      <c r="B39" s="168">
        <f t="shared" si="4"/>
        <v>0</v>
      </c>
      <c r="C39" s="168">
        <f t="shared" si="4"/>
        <v>800</v>
      </c>
      <c r="D39" s="168">
        <f t="shared" si="4"/>
        <v>800</v>
      </c>
      <c r="E39" s="168">
        <f t="shared" si="4"/>
        <v>800</v>
      </c>
      <c r="F39" s="168">
        <f t="shared" si="4"/>
        <v>800</v>
      </c>
      <c r="G39" s="168">
        <f t="shared" si="3"/>
        <v>800</v>
      </c>
    </row>
    <row r="40" spans="1:7">
      <c r="A40" s="166" t="str">
        <f t="shared" si="1"/>
        <v>Ryglówka</v>
      </c>
      <c r="B40" s="168">
        <f t="shared" si="4"/>
        <v>0</v>
      </c>
      <c r="C40" s="168">
        <f t="shared" si="4"/>
        <v>0</v>
      </c>
      <c r="D40" s="168">
        <f t="shared" si="4"/>
        <v>2000</v>
      </c>
      <c r="E40" s="168">
        <f t="shared" si="4"/>
        <v>2000</v>
      </c>
      <c r="F40" s="168">
        <f t="shared" si="4"/>
        <v>2000</v>
      </c>
      <c r="G40" s="168">
        <f t="shared" si="3"/>
        <v>2000</v>
      </c>
    </row>
    <row r="41" spans="1:7">
      <c r="A41" s="166" t="str">
        <f t="shared" si="1"/>
        <v>Overlock 4-nitkowy</v>
      </c>
      <c r="B41" s="168">
        <f t="shared" si="4"/>
        <v>0</v>
      </c>
      <c r="C41" s="168">
        <f t="shared" si="4"/>
        <v>0</v>
      </c>
      <c r="D41" s="168">
        <f t="shared" si="4"/>
        <v>740</v>
      </c>
      <c r="E41" s="168">
        <f t="shared" si="4"/>
        <v>740</v>
      </c>
      <c r="F41" s="168">
        <f t="shared" si="4"/>
        <v>740</v>
      </c>
      <c r="G41" s="168">
        <f t="shared" si="3"/>
        <v>740</v>
      </c>
    </row>
    <row r="42" spans="1:7">
      <c r="A42" s="166" t="str">
        <f t="shared" si="1"/>
        <v>Zestaw mebli</v>
      </c>
      <c r="B42" s="168">
        <f t="shared" si="4"/>
        <v>0</v>
      </c>
      <c r="C42" s="168">
        <f t="shared" si="4"/>
        <v>0</v>
      </c>
      <c r="D42" s="168">
        <f t="shared" si="4"/>
        <v>1600</v>
      </c>
      <c r="E42" s="168">
        <f t="shared" si="4"/>
        <v>1600</v>
      </c>
      <c r="F42" s="168">
        <f t="shared" si="4"/>
        <v>1600</v>
      </c>
      <c r="G42" s="168">
        <f t="shared" si="3"/>
        <v>1600</v>
      </c>
    </row>
    <row r="43" spans="1:7">
      <c r="A43" s="166" t="str">
        <f t="shared" si="1"/>
        <v>Samochód</v>
      </c>
      <c r="B43" s="168">
        <f t="shared" si="4"/>
        <v>0</v>
      </c>
      <c r="C43" s="168">
        <f t="shared" si="4"/>
        <v>0</v>
      </c>
      <c r="D43" s="168">
        <f t="shared" si="4"/>
        <v>0</v>
      </c>
      <c r="E43" s="168">
        <f t="shared" si="4"/>
        <v>0</v>
      </c>
      <c r="F43" s="168">
        <f t="shared" si="4"/>
        <v>3000</v>
      </c>
      <c r="G43" s="168">
        <f t="shared" si="3"/>
        <v>3000</v>
      </c>
    </row>
    <row r="44" spans="1:7">
      <c r="A44" s="166" t="str">
        <f t="shared" si="1"/>
        <v>Żelazko przemysłowe</v>
      </c>
      <c r="B44" s="168">
        <f t="shared" si="4"/>
        <v>700</v>
      </c>
      <c r="C44" s="168">
        <f t="shared" si="4"/>
        <v>700</v>
      </c>
      <c r="D44" s="168">
        <f t="shared" si="4"/>
        <v>700</v>
      </c>
      <c r="E44" s="168">
        <f t="shared" si="4"/>
        <v>700</v>
      </c>
      <c r="F44" s="168">
        <f t="shared" si="4"/>
        <v>700</v>
      </c>
      <c r="G44" s="168">
        <v>0</v>
      </c>
    </row>
    <row r="45" spans="1:7">
      <c r="A45" s="169" t="s">
        <v>18</v>
      </c>
      <c r="B45" s="170">
        <f t="shared" ref="B45:G45" si="5">SUM(B27:B44)</f>
        <v>16460</v>
      </c>
      <c r="C45" s="170">
        <f t="shared" si="5"/>
        <v>19640</v>
      </c>
      <c r="D45" s="170">
        <f t="shared" si="5"/>
        <v>23980</v>
      </c>
      <c r="E45" s="170">
        <f t="shared" si="5"/>
        <v>23980</v>
      </c>
      <c r="F45" s="170">
        <f t="shared" si="5"/>
        <v>26980</v>
      </c>
      <c r="G45" s="170">
        <f t="shared" si="5"/>
        <v>10520</v>
      </c>
    </row>
    <row r="47" spans="1:7">
      <c r="A47" s="309" t="s">
        <v>272</v>
      </c>
      <c r="B47" s="310"/>
      <c r="C47" s="310"/>
      <c r="D47" s="310"/>
      <c r="E47" s="310"/>
      <c r="F47" s="310"/>
      <c r="G47" s="310"/>
    </row>
    <row r="48" spans="1:7">
      <c r="A48" s="166" t="s">
        <v>223</v>
      </c>
      <c r="B48" s="171" t="str">
        <f>'2.Rachunek zysków i start'!C4</f>
        <v>31.12.2024</v>
      </c>
      <c r="C48" s="172" t="str">
        <f>'2.Rachunek zysków i start'!D4</f>
        <v>31.12.2025</v>
      </c>
      <c r="D48" s="172" t="str">
        <f>'2.Rachunek zysków i start'!E4</f>
        <v>31.12.2026</v>
      </c>
      <c r="E48" s="172" t="str">
        <f>'2.Rachunek zysków i start'!F4</f>
        <v>31.12.2027</v>
      </c>
      <c r="F48" s="172" t="str">
        <f>'2.Rachunek zysków i start'!G4</f>
        <v>31.12.2028</v>
      </c>
      <c r="G48" s="172" t="str">
        <f>'2.Rachunek zysków i start'!H4</f>
        <v>31.12.2029</v>
      </c>
    </row>
    <row r="49" spans="1:7">
      <c r="A49" s="166" t="str">
        <f t="shared" ref="A49:A66" si="6">A27</f>
        <v>Komputer</v>
      </c>
      <c r="B49" s="168">
        <f t="shared" ref="B49:B66" si="7">B5-B27</f>
        <v>4000</v>
      </c>
      <c r="C49" s="168">
        <f t="shared" ref="C49:F57" si="8">B49-C27</f>
        <v>3000</v>
      </c>
      <c r="D49" s="168">
        <f t="shared" si="8"/>
        <v>2000</v>
      </c>
      <c r="E49" s="168">
        <f t="shared" si="8"/>
        <v>1000</v>
      </c>
      <c r="F49" s="168">
        <f t="shared" si="8"/>
        <v>0</v>
      </c>
      <c r="G49" s="168">
        <v>0</v>
      </c>
    </row>
    <row r="50" spans="1:7">
      <c r="A50" s="166" t="str">
        <f t="shared" si="6"/>
        <v>Urządzenie wielofunkcyjne</v>
      </c>
      <c r="B50" s="168">
        <f t="shared" si="7"/>
        <v>3600</v>
      </c>
      <c r="C50" s="168">
        <f t="shared" si="8"/>
        <v>2700</v>
      </c>
      <c r="D50" s="168">
        <f t="shared" si="8"/>
        <v>1800</v>
      </c>
      <c r="E50" s="168">
        <f t="shared" si="8"/>
        <v>900</v>
      </c>
      <c r="F50" s="168">
        <f t="shared" si="8"/>
        <v>0</v>
      </c>
      <c r="G50" s="168">
        <v>0</v>
      </c>
    </row>
    <row r="51" spans="1:7">
      <c r="A51" s="166" t="str">
        <f t="shared" si="6"/>
        <v>Zestaw mebli</v>
      </c>
      <c r="B51" s="168">
        <f t="shared" si="7"/>
        <v>8000</v>
      </c>
      <c r="C51" s="168">
        <f t="shared" si="8"/>
        <v>6000</v>
      </c>
      <c r="D51" s="168">
        <f t="shared" si="8"/>
        <v>4000</v>
      </c>
      <c r="E51" s="168">
        <f t="shared" si="8"/>
        <v>2000</v>
      </c>
      <c r="F51" s="168">
        <f t="shared" si="8"/>
        <v>0</v>
      </c>
      <c r="G51" s="168">
        <v>0</v>
      </c>
    </row>
    <row r="52" spans="1:7">
      <c r="A52" s="166" t="str">
        <f t="shared" si="6"/>
        <v>Overlock 4-nitkowy</v>
      </c>
      <c r="B52" s="168">
        <f t="shared" si="7"/>
        <v>2960</v>
      </c>
      <c r="C52" s="168">
        <f t="shared" si="8"/>
        <v>2220</v>
      </c>
      <c r="D52" s="168">
        <f t="shared" si="8"/>
        <v>1480</v>
      </c>
      <c r="E52" s="168">
        <f t="shared" si="8"/>
        <v>740</v>
      </c>
      <c r="F52" s="168">
        <f t="shared" si="8"/>
        <v>0</v>
      </c>
      <c r="G52" s="168">
        <v>0</v>
      </c>
    </row>
    <row r="53" spans="1:7">
      <c r="A53" s="166" t="str">
        <f t="shared" si="6"/>
        <v>Guzikarka bieliźniana</v>
      </c>
      <c r="B53" s="168">
        <f t="shared" si="7"/>
        <v>4000</v>
      </c>
      <c r="C53" s="168">
        <f t="shared" si="8"/>
        <v>3000</v>
      </c>
      <c r="D53" s="168">
        <f t="shared" si="8"/>
        <v>2000</v>
      </c>
      <c r="E53" s="168">
        <f t="shared" si="8"/>
        <v>1000</v>
      </c>
      <c r="F53" s="168">
        <f t="shared" si="8"/>
        <v>0</v>
      </c>
      <c r="G53" s="168">
        <v>0</v>
      </c>
    </row>
    <row r="54" spans="1:7">
      <c r="A54" s="166" t="str">
        <f t="shared" si="6"/>
        <v>Dziurkarka bieliźniana</v>
      </c>
      <c r="B54" s="168">
        <f t="shared" si="7"/>
        <v>6800</v>
      </c>
      <c r="C54" s="168">
        <f t="shared" si="8"/>
        <v>5100</v>
      </c>
      <c r="D54" s="168">
        <f t="shared" si="8"/>
        <v>3400</v>
      </c>
      <c r="E54" s="168">
        <f t="shared" si="8"/>
        <v>1700</v>
      </c>
      <c r="F54" s="168">
        <f t="shared" si="8"/>
        <v>0</v>
      </c>
      <c r="G54" s="168">
        <v>0</v>
      </c>
    </row>
    <row r="55" spans="1:7">
      <c r="A55" s="166" t="str">
        <f t="shared" si="6"/>
        <v>Ploter</v>
      </c>
      <c r="B55" s="168">
        <f t="shared" si="7"/>
        <v>21200</v>
      </c>
      <c r="C55" s="168">
        <f t="shared" si="8"/>
        <v>15900</v>
      </c>
      <c r="D55" s="168">
        <f t="shared" si="8"/>
        <v>10600</v>
      </c>
      <c r="E55" s="168">
        <f t="shared" si="8"/>
        <v>5300</v>
      </c>
      <c r="F55" s="168">
        <f t="shared" si="8"/>
        <v>0</v>
      </c>
      <c r="G55" s="168">
        <v>0</v>
      </c>
    </row>
    <row r="56" spans="1:7">
      <c r="A56" s="166" t="str">
        <f t="shared" si="6"/>
        <v>System CAD</v>
      </c>
      <c r="B56" s="168">
        <f t="shared" si="7"/>
        <v>9280</v>
      </c>
      <c r="C56" s="168">
        <f t="shared" si="8"/>
        <v>6960</v>
      </c>
      <c r="D56" s="168">
        <f t="shared" si="8"/>
        <v>4640</v>
      </c>
      <c r="E56" s="168">
        <f t="shared" si="8"/>
        <v>2320</v>
      </c>
      <c r="F56" s="168">
        <f t="shared" si="8"/>
        <v>0</v>
      </c>
      <c r="G56" s="168">
        <v>0</v>
      </c>
    </row>
    <row r="57" spans="1:7">
      <c r="A57" s="166" t="str">
        <f t="shared" si="6"/>
        <v>Stębnówki</v>
      </c>
      <c r="B57" s="168">
        <f t="shared" si="7"/>
        <v>3200</v>
      </c>
      <c r="C57" s="168">
        <f t="shared" si="8"/>
        <v>2400</v>
      </c>
      <c r="D57" s="168">
        <f t="shared" si="8"/>
        <v>1600</v>
      </c>
      <c r="E57" s="168">
        <f t="shared" si="8"/>
        <v>800</v>
      </c>
      <c r="F57" s="168">
        <f t="shared" si="8"/>
        <v>0</v>
      </c>
      <c r="G57" s="168">
        <v>0</v>
      </c>
    </row>
    <row r="58" spans="1:7">
      <c r="A58" s="166" t="str">
        <f t="shared" si="6"/>
        <v>Komputer</v>
      </c>
      <c r="B58" s="168">
        <f t="shared" si="7"/>
        <v>0</v>
      </c>
      <c r="C58" s="168">
        <f>C14-C36</f>
        <v>3200</v>
      </c>
      <c r="D58" s="168">
        <f t="shared" ref="D58:G61" si="9">C58-D36</f>
        <v>2400</v>
      </c>
      <c r="E58" s="168">
        <f t="shared" si="9"/>
        <v>1600</v>
      </c>
      <c r="F58" s="168">
        <f t="shared" si="9"/>
        <v>800</v>
      </c>
      <c r="G58" s="168">
        <f t="shared" si="9"/>
        <v>0</v>
      </c>
    </row>
    <row r="59" spans="1:7">
      <c r="A59" s="166" t="str">
        <f t="shared" si="6"/>
        <v>Stębnówki</v>
      </c>
      <c r="B59" s="168">
        <f t="shared" si="7"/>
        <v>0</v>
      </c>
      <c r="C59" s="168">
        <f>C15-C37</f>
        <v>3200</v>
      </c>
      <c r="D59" s="168">
        <f t="shared" si="9"/>
        <v>2400</v>
      </c>
      <c r="E59" s="168">
        <f t="shared" si="9"/>
        <v>1600</v>
      </c>
      <c r="F59" s="168">
        <f t="shared" si="9"/>
        <v>800</v>
      </c>
      <c r="G59" s="168">
        <f t="shared" si="9"/>
        <v>0</v>
      </c>
    </row>
    <row r="60" spans="1:7">
      <c r="A60" s="166" t="str">
        <f t="shared" si="6"/>
        <v>Overlock 5-nitkowy</v>
      </c>
      <c r="B60" s="168">
        <f t="shared" si="7"/>
        <v>0</v>
      </c>
      <c r="C60" s="168">
        <f>C16-C38</f>
        <v>3120</v>
      </c>
      <c r="D60" s="168">
        <f t="shared" si="9"/>
        <v>2340</v>
      </c>
      <c r="E60" s="168">
        <f t="shared" si="9"/>
        <v>1560</v>
      </c>
      <c r="F60" s="168">
        <f t="shared" si="9"/>
        <v>780</v>
      </c>
      <c r="G60" s="168">
        <f t="shared" si="9"/>
        <v>0</v>
      </c>
    </row>
    <row r="61" spans="1:7">
      <c r="A61" s="166" t="str">
        <f t="shared" si="6"/>
        <v xml:space="preserve">Skaner </v>
      </c>
      <c r="B61" s="168">
        <f t="shared" si="7"/>
        <v>0</v>
      </c>
      <c r="C61" s="168">
        <f>C17-C39</f>
        <v>3200</v>
      </c>
      <c r="D61" s="168">
        <f t="shared" si="9"/>
        <v>2400</v>
      </c>
      <c r="E61" s="168">
        <f t="shared" si="9"/>
        <v>1600</v>
      </c>
      <c r="F61" s="168">
        <f t="shared" si="9"/>
        <v>800</v>
      </c>
      <c r="G61" s="168">
        <f t="shared" si="9"/>
        <v>0</v>
      </c>
    </row>
    <row r="62" spans="1:7">
      <c r="A62" s="166" t="str">
        <f t="shared" si="6"/>
        <v>Ryglówka</v>
      </c>
      <c r="B62" s="168">
        <f t="shared" si="7"/>
        <v>0</v>
      </c>
      <c r="C62" s="168">
        <f>B62-C40</f>
        <v>0</v>
      </c>
      <c r="D62" s="168">
        <f>D18-D40</f>
        <v>8000</v>
      </c>
      <c r="E62" s="168">
        <f t="shared" ref="E62:G64" si="10">D62-E40</f>
        <v>6000</v>
      </c>
      <c r="F62" s="168">
        <f t="shared" si="10"/>
        <v>4000</v>
      </c>
      <c r="G62" s="168">
        <f t="shared" si="10"/>
        <v>2000</v>
      </c>
    </row>
    <row r="63" spans="1:7">
      <c r="A63" s="166" t="str">
        <f t="shared" si="6"/>
        <v>Overlock 4-nitkowy</v>
      </c>
      <c r="B63" s="168">
        <f t="shared" si="7"/>
        <v>0</v>
      </c>
      <c r="C63" s="168">
        <f>B63-C41</f>
        <v>0</v>
      </c>
      <c r="D63" s="168">
        <f>D19-D41</f>
        <v>2960</v>
      </c>
      <c r="E63" s="168">
        <f t="shared" si="10"/>
        <v>2220</v>
      </c>
      <c r="F63" s="168">
        <f t="shared" si="10"/>
        <v>1480</v>
      </c>
      <c r="G63" s="168">
        <f t="shared" si="10"/>
        <v>740</v>
      </c>
    </row>
    <row r="64" spans="1:7">
      <c r="A64" s="166" t="str">
        <f t="shared" si="6"/>
        <v>Zestaw mebli</v>
      </c>
      <c r="B64" s="168">
        <f t="shared" si="7"/>
        <v>0</v>
      </c>
      <c r="C64" s="168">
        <f>B64-C42</f>
        <v>0</v>
      </c>
      <c r="D64" s="168">
        <f>D20-D42</f>
        <v>6400</v>
      </c>
      <c r="E64" s="168">
        <f t="shared" si="10"/>
        <v>4800</v>
      </c>
      <c r="F64" s="168">
        <f t="shared" si="10"/>
        <v>3200</v>
      </c>
      <c r="G64" s="168">
        <f t="shared" si="10"/>
        <v>1600</v>
      </c>
    </row>
    <row r="65" spans="1:7">
      <c r="A65" s="166" t="str">
        <f t="shared" si="6"/>
        <v>Samochód</v>
      </c>
      <c r="B65" s="168">
        <f t="shared" si="7"/>
        <v>0</v>
      </c>
      <c r="C65" s="168">
        <f>B65-C43</f>
        <v>0</v>
      </c>
      <c r="D65" s="168">
        <f>D21-D43</f>
        <v>0</v>
      </c>
      <c r="E65" s="168">
        <f>D65-E43</f>
        <v>0</v>
      </c>
      <c r="F65" s="168">
        <f>G21-F43</f>
        <v>12000</v>
      </c>
      <c r="G65" s="168">
        <f>F65-G43</f>
        <v>9000</v>
      </c>
    </row>
    <row r="66" spans="1:7">
      <c r="A66" s="166" t="str">
        <f t="shared" si="6"/>
        <v>Żelazko przemysłowe</v>
      </c>
      <c r="B66" s="168">
        <f t="shared" si="7"/>
        <v>2800</v>
      </c>
      <c r="C66" s="168">
        <f>B66-C44</f>
        <v>2100</v>
      </c>
      <c r="D66" s="168">
        <f>C66-D44</f>
        <v>1400</v>
      </c>
      <c r="E66" s="168">
        <f>D66-E44</f>
        <v>700</v>
      </c>
      <c r="F66" s="168">
        <f>E66-F44</f>
        <v>0</v>
      </c>
      <c r="G66" s="168">
        <v>0</v>
      </c>
    </row>
    <row r="67" spans="1:7">
      <c r="A67" s="169" t="s">
        <v>18</v>
      </c>
      <c r="B67" s="170">
        <f>SUM(B49:B59)</f>
        <v>63040</v>
      </c>
      <c r="C67" s="170">
        <f>SUM(C49:C59)</f>
        <v>53680</v>
      </c>
      <c r="D67" s="170">
        <f>SUM(D49:D59)</f>
        <v>36320</v>
      </c>
      <c r="E67" s="170">
        <f>SUM(E49:E59)</f>
        <v>18960</v>
      </c>
      <c r="F67" s="170">
        <f>SUM(F49:F59)</f>
        <v>1600</v>
      </c>
      <c r="G67" s="170">
        <f>SUM(G49:G66)</f>
        <v>13340</v>
      </c>
    </row>
  </sheetData>
  <sheetProtection algorithmName="SHA-512" hashValue="X5enBt5f8xqUOKhBB9ur5z86h3L45r812fJe0CWBt5iOPJyB15iCw+sDNWigMT7s2pL6+JOdxMtv+WydJH7ECA==" saltValue="Yar4zdO/WPHZNhFYGQjWMA==" spinCount="100000" sheet="1"/>
  <mergeCells count="5">
    <mergeCell ref="A3:G3"/>
    <mergeCell ref="A25:G25"/>
    <mergeCell ref="A47:G47"/>
    <mergeCell ref="A2:G2"/>
    <mergeCell ref="A1:F1"/>
  </mergeCells>
  <pageMargins left="0.75" right="0.75" top="1" bottom="1" header="0.3" footer="0.3"/>
  <pageSetup paperSize="9" orientation="portrait" r:id="rId1"/>
  <ignoredErrors>
    <ignoredError sqref="C56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usz4">
    <tabColor rgb="FF00B0F0"/>
    <pageSetUpPr fitToPage="1"/>
  </sheetPr>
  <dimension ref="A1:J152"/>
  <sheetViews>
    <sheetView topLeftCell="A130" zoomScale="85" zoomScaleNormal="85" workbookViewId="0">
      <selection activeCell="I144" sqref="I144"/>
    </sheetView>
  </sheetViews>
  <sheetFormatPr defaultColWidth="11" defaultRowHeight="16.8"/>
  <cols>
    <col min="1" max="1" width="39.19921875" style="24" customWidth="1"/>
    <col min="2" max="7" width="15.5" style="24" bestFit="1" customWidth="1"/>
    <col min="8" max="8" width="19.796875" style="24" customWidth="1"/>
    <col min="9" max="10" width="11" style="24" customWidth="1"/>
    <col min="11" max="11" width="6.296875" style="24" bestFit="1" customWidth="1"/>
    <col min="12" max="16384" width="11" style="24"/>
  </cols>
  <sheetData>
    <row r="1" spans="1:8" ht="76.2" customHeight="1">
      <c r="A1" s="268" t="s">
        <v>402</v>
      </c>
      <c r="B1" s="269"/>
      <c r="C1" s="269"/>
      <c r="D1" s="269"/>
      <c r="E1" s="269"/>
      <c r="F1" s="269"/>
    </row>
    <row r="2" spans="1:8">
      <c r="A2" s="313" t="s">
        <v>139</v>
      </c>
      <c r="B2" s="314"/>
    </row>
    <row r="3" spans="1:8">
      <c r="A3" s="313" t="s">
        <v>180</v>
      </c>
      <c r="B3" s="314"/>
    </row>
    <row r="4" spans="1:8" ht="17.399999999999999">
      <c r="A4" s="174"/>
      <c r="B4" s="175">
        <f>'0.Panel'!$B$3</f>
        <v>2024</v>
      </c>
      <c r="C4" s="175">
        <f>B4+1</f>
        <v>2025</v>
      </c>
      <c r="D4" s="175">
        <f>C4+1</f>
        <v>2026</v>
      </c>
      <c r="E4" s="175">
        <f>D4+1</f>
        <v>2027</v>
      </c>
      <c r="F4" s="175">
        <f>E4+1</f>
        <v>2028</v>
      </c>
      <c r="G4" s="175">
        <f>F4+1</f>
        <v>2029</v>
      </c>
    </row>
    <row r="5" spans="1:8" ht="17.399999999999999">
      <c r="A5" s="27" t="s">
        <v>335</v>
      </c>
      <c r="B5" s="28">
        <v>2400</v>
      </c>
      <c r="C5" s="28">
        <f>B5+B5*'0.Panel'!$B$23</f>
        <v>2496</v>
      </c>
      <c r="D5" s="28">
        <f>C5+C5*'0.Panel'!$B$23</f>
        <v>2595.84</v>
      </c>
      <c r="E5" s="28">
        <f>D5+D5*'0.Panel'!$B$23</f>
        <v>2699.6736000000001</v>
      </c>
      <c r="F5" s="28">
        <f>E5+E5*'0.Panel'!$B$23</f>
        <v>2807.6605440000003</v>
      </c>
      <c r="G5" s="28">
        <f>F5+F5*'0.Panel'!$B$23</f>
        <v>2919.9669657600002</v>
      </c>
      <c r="H5" s="36" t="s">
        <v>295</v>
      </c>
    </row>
    <row r="6" spans="1:8">
      <c r="A6" s="27" t="s">
        <v>336</v>
      </c>
      <c r="B6" s="28">
        <v>600</v>
      </c>
      <c r="C6" s="28">
        <f>B6+B6*'0.Panel'!$B$23</f>
        <v>624</v>
      </c>
      <c r="D6" s="28">
        <f>C6+C6*'0.Panel'!$B$23</f>
        <v>648.96</v>
      </c>
      <c r="E6" s="28">
        <f>D6+D6*'0.Panel'!$B$23</f>
        <v>674.91840000000002</v>
      </c>
      <c r="F6" s="28">
        <f>E6+E6*'0.Panel'!$B$23</f>
        <v>701.91513600000008</v>
      </c>
      <c r="G6" s="28">
        <f>F6+F6*'0.Panel'!$B$23</f>
        <v>729.99174144000006</v>
      </c>
      <c r="H6" s="85" t="s">
        <v>254</v>
      </c>
    </row>
    <row r="7" spans="1:8">
      <c r="A7" s="27" t="s">
        <v>337</v>
      </c>
      <c r="B7" s="28">
        <v>2900</v>
      </c>
      <c r="C7" s="28">
        <f>B7+B7*'0.Panel'!$B$23</f>
        <v>3016</v>
      </c>
      <c r="D7" s="28">
        <f>C7+C7*'0.Panel'!$B$23</f>
        <v>3136.64</v>
      </c>
      <c r="E7" s="28">
        <f>D7+D7*'0.Panel'!$B$23</f>
        <v>3262.1055999999999</v>
      </c>
      <c r="F7" s="28">
        <f>E7+E7*'0.Panel'!$B$23</f>
        <v>3392.5898239999997</v>
      </c>
      <c r="G7" s="28">
        <f>F7+F7*'0.Panel'!$B$23</f>
        <v>3528.2934169599998</v>
      </c>
      <c r="H7" s="85" t="s">
        <v>258</v>
      </c>
    </row>
    <row r="8" spans="1:8">
      <c r="A8" s="27" t="s">
        <v>338</v>
      </c>
      <c r="B8" s="28">
        <v>1000</v>
      </c>
      <c r="C8" s="28">
        <f>B8+B8*'0.Panel'!$B$23</f>
        <v>1040</v>
      </c>
      <c r="D8" s="28">
        <f>C8+C8*'0.Panel'!$B$23</f>
        <v>1081.5999999999999</v>
      </c>
      <c r="E8" s="28">
        <f>D8+D8*'0.Panel'!$B$23</f>
        <v>1124.8639999999998</v>
      </c>
      <c r="F8" s="28">
        <f>E8+E8*'0.Panel'!$B$23</f>
        <v>1169.8585599999999</v>
      </c>
      <c r="G8" s="28">
        <f>F8+F8*'0.Panel'!$B$23</f>
        <v>1216.6529023999999</v>
      </c>
      <c r="H8" s="24" t="s">
        <v>260</v>
      </c>
    </row>
    <row r="9" spans="1:8">
      <c r="A9" s="30"/>
      <c r="B9" s="30">
        <v>0</v>
      </c>
      <c r="C9" s="30">
        <v>0</v>
      </c>
      <c r="D9" s="30">
        <v>0</v>
      </c>
      <c r="E9" s="30">
        <v>0</v>
      </c>
      <c r="F9" s="30">
        <v>0</v>
      </c>
      <c r="G9" s="30">
        <v>0</v>
      </c>
      <c r="H9" s="24" t="s">
        <v>261</v>
      </c>
    </row>
    <row r="10" spans="1:8" ht="17.399999999999999">
      <c r="A10" s="30"/>
      <c r="B10" s="28">
        <v>0</v>
      </c>
      <c r="C10" s="28">
        <f>B10+B10*'0.Panel'!$B$23</f>
        <v>0</v>
      </c>
      <c r="D10" s="28">
        <f>C10+C10*'0.Panel'!$B$23</f>
        <v>0</v>
      </c>
      <c r="E10" s="28">
        <f>D10+D10*'0.Panel'!$B$23</f>
        <v>0</v>
      </c>
      <c r="F10" s="28">
        <f>E10+E10*'0.Panel'!$B$23</f>
        <v>0</v>
      </c>
      <c r="G10" s="28">
        <f>F10+F10*'0.Panel'!$B$23</f>
        <v>0</v>
      </c>
      <c r="H10" s="131" t="s">
        <v>256</v>
      </c>
    </row>
    <row r="11" spans="1:8">
      <c r="A11" s="30"/>
      <c r="B11" s="28">
        <v>0</v>
      </c>
      <c r="C11" s="28">
        <f>B11+B11*'0.Panel'!$B$23</f>
        <v>0</v>
      </c>
      <c r="D11" s="28">
        <f>C11+C11*'0.Panel'!$B$23</f>
        <v>0</v>
      </c>
      <c r="E11" s="28">
        <f>D11+D11*'0.Panel'!$B$23</f>
        <v>0</v>
      </c>
      <c r="F11" s="28">
        <f>E11+E11*'0.Panel'!$B$23</f>
        <v>0</v>
      </c>
      <c r="G11" s="28">
        <f>F11+F11*'0.Panel'!$B$23</f>
        <v>0</v>
      </c>
    </row>
    <row r="12" spans="1:8">
      <c r="A12" s="178" t="s">
        <v>18</v>
      </c>
      <c r="B12" s="179">
        <f>SUM(B5:B11)</f>
        <v>6900</v>
      </c>
      <c r="C12" s="179">
        <f>SUM(C5:C8)</f>
        <v>7176</v>
      </c>
      <c r="D12" s="179">
        <f>SUM(D5:D8)</f>
        <v>7463.0400000000009</v>
      </c>
      <c r="E12" s="179">
        <f>SUM(E5:E8)</f>
        <v>7761.5615999999991</v>
      </c>
      <c r="F12" s="179">
        <f>SUM(F5:F8)</f>
        <v>8072.0240640000002</v>
      </c>
      <c r="G12" s="179">
        <f>SUM(G5:G10)</f>
        <v>8394.9050265599999</v>
      </c>
    </row>
    <row r="18" spans="1:10">
      <c r="A18" s="313" t="s">
        <v>126</v>
      </c>
      <c r="B18" s="314"/>
    </row>
    <row r="19" spans="1:10" ht="17.399999999999999">
      <c r="A19" s="174"/>
      <c r="B19" s="175">
        <f>'0.Panel'!$B$3</f>
        <v>2024</v>
      </c>
      <c r="C19" s="175">
        <f>B19+1</f>
        <v>2025</v>
      </c>
      <c r="D19" s="175">
        <f>C19+1</f>
        <v>2026</v>
      </c>
      <c r="E19" s="175">
        <f>D19+1</f>
        <v>2027</v>
      </c>
      <c r="F19" s="175">
        <f>E19+1</f>
        <v>2028</v>
      </c>
      <c r="G19" s="175">
        <f>F19+1</f>
        <v>2029</v>
      </c>
      <c r="H19" s="174" t="s">
        <v>257</v>
      </c>
      <c r="I19" s="174"/>
      <c r="J19" s="180"/>
    </row>
    <row r="20" spans="1:10">
      <c r="A20" s="27" t="s">
        <v>339</v>
      </c>
      <c r="B20" s="28">
        <f>4300*12</f>
        <v>51600</v>
      </c>
      <c r="C20" s="28">
        <f>B20+B20*'0.Panel'!$B$23</f>
        <v>53664</v>
      </c>
      <c r="D20" s="28">
        <f>C20+C20*'0.Panel'!$B$23</f>
        <v>55810.559999999998</v>
      </c>
      <c r="E20" s="28">
        <f>D20+D20*'0.Panel'!$B$23</f>
        <v>58042.982400000001</v>
      </c>
      <c r="F20" s="28">
        <f>E20+E20*'0.Panel'!$B$23</f>
        <v>60364.701696000004</v>
      </c>
      <c r="G20" s="28">
        <f>F20+F20*'0.Panel'!$B$23</f>
        <v>62779.289763840003</v>
      </c>
      <c r="H20" s="181">
        <f>B20/12</f>
        <v>4300</v>
      </c>
    </row>
    <row r="21" spans="1:10">
      <c r="A21" s="27" t="s">
        <v>340</v>
      </c>
      <c r="B21" s="28">
        <f>4300*12</f>
        <v>51600</v>
      </c>
      <c r="C21" s="28">
        <f>B21+B21*'0.Panel'!$B$23</f>
        <v>53664</v>
      </c>
      <c r="D21" s="28">
        <f>C21+C21*'0.Panel'!$B$23</f>
        <v>55810.559999999998</v>
      </c>
      <c r="E21" s="28">
        <f>D21+D21*'0.Panel'!$B$23</f>
        <v>58042.982400000001</v>
      </c>
      <c r="F21" s="28">
        <f>E21+E21*'0.Panel'!$B$23</f>
        <v>60364.701696000004</v>
      </c>
      <c r="G21" s="28">
        <f>F21+F21*'0.Panel'!$B$23</f>
        <v>62779.289763840003</v>
      </c>
      <c r="H21" s="181">
        <f>B21/12</f>
        <v>4300</v>
      </c>
    </row>
    <row r="22" spans="1:10">
      <c r="A22" s="27"/>
      <c r="B22" s="28">
        <v>0</v>
      </c>
      <c r="C22" s="28">
        <f>B22+B22*'0.Panel'!$B$23</f>
        <v>0</v>
      </c>
      <c r="D22" s="28">
        <f>C22+C22*'0.Panel'!$B$23</f>
        <v>0</v>
      </c>
      <c r="E22" s="28">
        <f>D22+D22*'0.Panel'!$B$23</f>
        <v>0</v>
      </c>
      <c r="F22" s="28">
        <f>E22+E22*'0.Panel'!$B$23</f>
        <v>0</v>
      </c>
      <c r="G22" s="28">
        <f>F22+F22*'0.Panel'!$B$23</f>
        <v>0</v>
      </c>
      <c r="H22" s="181">
        <f>B22/12</f>
        <v>0</v>
      </c>
    </row>
    <row r="23" spans="1:10">
      <c r="A23" s="27"/>
      <c r="B23" s="28">
        <v>0</v>
      </c>
      <c r="C23" s="28">
        <f>B23+B23*'0.Panel'!$B$23</f>
        <v>0</v>
      </c>
      <c r="D23" s="28">
        <f>C23+C23*'0.Panel'!$B$23</f>
        <v>0</v>
      </c>
      <c r="E23" s="28">
        <f>D23+D23*'0.Panel'!$B$23</f>
        <v>0</v>
      </c>
      <c r="F23" s="28">
        <f>E23+E23*'0.Panel'!$B$23</f>
        <v>0</v>
      </c>
      <c r="G23" s="28">
        <f>F23+F23*'0.Panel'!$B$23</f>
        <v>0</v>
      </c>
      <c r="H23" s="181">
        <f>B23/12</f>
        <v>0</v>
      </c>
    </row>
    <row r="24" spans="1:10">
      <c r="A24" s="27"/>
      <c r="B24" s="28">
        <v>0</v>
      </c>
      <c r="C24" s="28">
        <f>B24+B24*'0.Panel'!$B$23</f>
        <v>0</v>
      </c>
      <c r="D24" s="28">
        <f>C24+C24*'0.Panel'!$B$23</f>
        <v>0</v>
      </c>
      <c r="E24" s="28">
        <f>D24+D24*'0.Panel'!$B$23</f>
        <v>0</v>
      </c>
      <c r="F24" s="28">
        <f>E24+E24*'0.Panel'!$B$23</f>
        <v>0</v>
      </c>
      <c r="G24" s="28">
        <f>F24+F24*'0.Panel'!$B$23</f>
        <v>0</v>
      </c>
      <c r="H24" s="181">
        <f>B24/12</f>
        <v>0</v>
      </c>
    </row>
    <row r="25" spans="1:10">
      <c r="A25" s="27"/>
      <c r="B25" s="28">
        <v>0</v>
      </c>
      <c r="C25" s="28">
        <f>B25+B25*'0.Panel'!$B$23</f>
        <v>0</v>
      </c>
      <c r="D25" s="28">
        <f>C25+C25*'0.Panel'!$B$23</f>
        <v>0</v>
      </c>
      <c r="E25" s="28">
        <f>D25+D25*'0.Panel'!$B$23</f>
        <v>0</v>
      </c>
      <c r="F25" s="28">
        <f>E25+E25*'0.Panel'!$B$23</f>
        <v>0</v>
      </c>
      <c r="G25" s="28">
        <f>F25+F25*'0.Panel'!$B$23</f>
        <v>0</v>
      </c>
      <c r="H25" s="181">
        <f>F25/12</f>
        <v>0</v>
      </c>
    </row>
    <row r="26" spans="1:10" hidden="1">
      <c r="A26" s="176"/>
      <c r="B26" s="177">
        <v>0</v>
      </c>
      <c r="C26" s="177">
        <f>B26+B26*'0.Panel'!$B$23</f>
        <v>0</v>
      </c>
      <c r="D26" s="177">
        <f>C26+C26*'0.Panel'!$B$23</f>
        <v>0</v>
      </c>
      <c r="E26" s="177">
        <f>D26+D26*'0.Panel'!$B$23</f>
        <v>0</v>
      </c>
      <c r="F26" s="177">
        <f>E26+E26*'0.Panel'!$B$23</f>
        <v>0</v>
      </c>
      <c r="G26" s="177">
        <f>F26+F26*'0.Panel'!$B$23</f>
        <v>0</v>
      </c>
      <c r="H26" s="181">
        <f>F26/12</f>
        <v>0</v>
      </c>
    </row>
    <row r="27" spans="1:10" hidden="1"/>
    <row r="28" spans="1:10" hidden="1">
      <c r="A28" s="174"/>
      <c r="B28" s="155"/>
      <c r="C28" s="155"/>
      <c r="D28" s="155"/>
      <c r="E28" s="155"/>
      <c r="F28" s="155"/>
      <c r="G28" s="155"/>
    </row>
    <row r="29" spans="1:10" hidden="1">
      <c r="A29" s="174"/>
      <c r="B29" s="155"/>
      <c r="C29" s="155"/>
      <c r="D29" s="155"/>
      <c r="E29" s="155"/>
      <c r="F29" s="155"/>
      <c r="G29" s="155"/>
    </row>
    <row r="30" spans="1:10" hidden="1">
      <c r="A30" s="174"/>
      <c r="B30" s="155"/>
      <c r="C30" s="155"/>
      <c r="D30" s="155"/>
      <c r="E30" s="155"/>
      <c r="F30" s="155"/>
      <c r="G30" s="155"/>
    </row>
    <row r="31" spans="1:10" hidden="1">
      <c r="A31" s="174"/>
      <c r="B31" s="155"/>
      <c r="C31" s="155"/>
      <c r="D31" s="155"/>
      <c r="E31" s="155"/>
      <c r="F31" s="155"/>
      <c r="G31" s="155"/>
    </row>
    <row r="32" spans="1:10" hidden="1">
      <c r="A32" s="174"/>
      <c r="B32" s="155"/>
      <c r="C32" s="155"/>
      <c r="D32" s="155"/>
      <c r="E32" s="155"/>
      <c r="F32" s="155"/>
      <c r="G32" s="155"/>
    </row>
    <row r="33" spans="1:7" hidden="1">
      <c r="A33" s="174"/>
      <c r="B33" s="155"/>
      <c r="C33" s="155"/>
      <c r="D33" s="155"/>
      <c r="E33" s="155"/>
      <c r="F33" s="155"/>
      <c r="G33" s="155"/>
    </row>
    <row r="34" spans="1:7" hidden="1">
      <c r="A34" s="174"/>
      <c r="B34" s="155"/>
      <c r="C34" s="155"/>
      <c r="D34" s="155"/>
      <c r="E34" s="155"/>
      <c r="F34" s="155"/>
      <c r="G34" s="155"/>
    </row>
    <row r="35" spans="1:7" hidden="1">
      <c r="A35" s="174"/>
      <c r="B35" s="155"/>
      <c r="C35" s="155"/>
      <c r="D35" s="155"/>
      <c r="E35" s="155"/>
      <c r="F35" s="155"/>
      <c r="G35" s="155"/>
    </row>
    <row r="36" spans="1:7" hidden="1">
      <c r="A36" s="174"/>
      <c r="B36" s="155"/>
      <c r="C36" s="155"/>
      <c r="D36" s="155"/>
      <c r="E36" s="155"/>
      <c r="F36" s="155"/>
      <c r="G36" s="155"/>
    </row>
    <row r="37" spans="1:7" hidden="1">
      <c r="A37" s="174"/>
      <c r="B37" s="155"/>
      <c r="C37" s="155"/>
      <c r="D37" s="155"/>
      <c r="E37" s="155"/>
      <c r="F37" s="155"/>
      <c r="G37" s="155"/>
    </row>
    <row r="38" spans="1:7" hidden="1">
      <c r="A38" s="174"/>
      <c r="B38" s="155"/>
      <c r="C38" s="155"/>
      <c r="D38" s="155"/>
      <c r="E38" s="155"/>
      <c r="F38" s="155"/>
      <c r="G38" s="155"/>
    </row>
    <row r="39" spans="1:7" hidden="1">
      <c r="A39" s="174"/>
      <c r="B39" s="155"/>
      <c r="C39" s="155"/>
      <c r="D39" s="155"/>
      <c r="E39" s="155"/>
      <c r="F39" s="155"/>
      <c r="G39" s="155"/>
    </row>
    <row r="40" spans="1:7">
      <c r="A40" s="174"/>
      <c r="B40" s="155"/>
      <c r="C40" s="155"/>
      <c r="D40" s="155"/>
      <c r="E40" s="155"/>
      <c r="F40" s="155"/>
      <c r="G40" s="155"/>
    </row>
    <row r="41" spans="1:7">
      <c r="A41" s="178" t="s">
        <v>18</v>
      </c>
      <c r="B41" s="179">
        <f t="shared" ref="B41:G41" si="0">SUM(B20:B40)</f>
        <v>103200</v>
      </c>
      <c r="C41" s="179">
        <f t="shared" si="0"/>
        <v>107328</v>
      </c>
      <c r="D41" s="179">
        <f t="shared" si="0"/>
        <v>111621.12</v>
      </c>
      <c r="E41" s="179">
        <f t="shared" si="0"/>
        <v>116085.9648</v>
      </c>
      <c r="F41" s="179">
        <f t="shared" si="0"/>
        <v>120729.40339200001</v>
      </c>
      <c r="G41" s="179">
        <f t="shared" si="0"/>
        <v>125558.57952768001</v>
      </c>
    </row>
    <row r="42" spans="1:7" ht="31.8" customHeight="1"/>
    <row r="43" spans="1:7">
      <c r="A43" s="316" t="s">
        <v>259</v>
      </c>
      <c r="B43" s="317"/>
      <c r="C43" s="317"/>
      <c r="D43" s="317"/>
      <c r="E43" s="317"/>
      <c r="F43" s="317"/>
      <c r="G43" s="317"/>
    </row>
    <row r="44" spans="1:7" ht="17.399999999999999">
      <c r="A44" s="174"/>
      <c r="B44" s="175">
        <f>'0.Panel'!$B$3</f>
        <v>2024</v>
      </c>
      <c r="C44" s="175">
        <f>B44+1</f>
        <v>2025</v>
      </c>
      <c r="D44" s="175">
        <f>C44+1</f>
        <v>2026</v>
      </c>
      <c r="E44" s="175">
        <f>D44+1</f>
        <v>2027</v>
      </c>
      <c r="F44" s="175">
        <f>E44+1</f>
        <v>2028</v>
      </c>
      <c r="G44" s="175">
        <f>F44+1</f>
        <v>2029</v>
      </c>
    </row>
    <row r="45" spans="1:7">
      <c r="A45" s="174" t="str">
        <f t="shared" ref="A45:A46" si="1">A20</f>
        <v>Współnik 1</v>
      </c>
      <c r="B45" s="155">
        <f>B20*20.61%</f>
        <v>10634.76</v>
      </c>
      <c r="C45" s="155">
        <f t="shared" ref="C45:G45" si="2">C20*20.61%</f>
        <v>11060.1504</v>
      </c>
      <c r="D45" s="155">
        <f t="shared" si="2"/>
        <v>11502.556415999999</v>
      </c>
      <c r="E45" s="155">
        <f t="shared" si="2"/>
        <v>11962.65867264</v>
      </c>
      <c r="F45" s="155">
        <f t="shared" si="2"/>
        <v>12441.1650195456</v>
      </c>
      <c r="G45" s="155">
        <f t="shared" si="2"/>
        <v>12938.811620327426</v>
      </c>
    </row>
    <row r="46" spans="1:7">
      <c r="A46" s="174" t="str">
        <f t="shared" si="1"/>
        <v>Współnik 2</v>
      </c>
      <c r="B46" s="155">
        <f>B21*20.61%</f>
        <v>10634.76</v>
      </c>
      <c r="C46" s="155">
        <f t="shared" ref="C46:G46" si="3">C21*20.61%</f>
        <v>11060.1504</v>
      </c>
      <c r="D46" s="155">
        <f t="shared" si="3"/>
        <v>11502.556415999999</v>
      </c>
      <c r="E46" s="155">
        <f t="shared" si="3"/>
        <v>11962.65867264</v>
      </c>
      <c r="F46" s="155">
        <f t="shared" si="3"/>
        <v>12441.1650195456</v>
      </c>
      <c r="G46" s="155">
        <f t="shared" si="3"/>
        <v>12938.811620327426</v>
      </c>
    </row>
    <row r="47" spans="1:7">
      <c r="A47" s="174"/>
      <c r="B47" s="155">
        <f>B22*20.61%</f>
        <v>0</v>
      </c>
      <c r="C47" s="155">
        <f t="shared" ref="C47:G47" si="4">C22*20.61%</f>
        <v>0</v>
      </c>
      <c r="D47" s="155">
        <f t="shared" si="4"/>
        <v>0</v>
      </c>
      <c r="E47" s="155">
        <f t="shared" si="4"/>
        <v>0</v>
      </c>
      <c r="F47" s="155">
        <f t="shared" si="4"/>
        <v>0</v>
      </c>
      <c r="G47" s="155">
        <f t="shared" si="4"/>
        <v>0</v>
      </c>
    </row>
    <row r="48" spans="1:7">
      <c r="A48" s="174"/>
      <c r="B48" s="155">
        <f t="shared" ref="B48:G51" si="5">B23*20.61%</f>
        <v>0</v>
      </c>
      <c r="C48" s="155">
        <f t="shared" si="5"/>
        <v>0</v>
      </c>
      <c r="D48" s="155">
        <f t="shared" si="5"/>
        <v>0</v>
      </c>
      <c r="E48" s="155">
        <f t="shared" si="5"/>
        <v>0</v>
      </c>
      <c r="F48" s="155">
        <f t="shared" si="5"/>
        <v>0</v>
      </c>
      <c r="G48" s="155">
        <f t="shared" si="5"/>
        <v>0</v>
      </c>
    </row>
    <row r="49" spans="1:7">
      <c r="A49" s="174"/>
      <c r="B49" s="155">
        <f t="shared" si="5"/>
        <v>0</v>
      </c>
      <c r="C49" s="155">
        <f t="shared" si="5"/>
        <v>0</v>
      </c>
      <c r="D49" s="155">
        <f t="shared" si="5"/>
        <v>0</v>
      </c>
      <c r="E49" s="155">
        <f t="shared" si="5"/>
        <v>0</v>
      </c>
      <c r="F49" s="155">
        <f t="shared" si="5"/>
        <v>0</v>
      </c>
      <c r="G49" s="155">
        <f t="shared" si="5"/>
        <v>0</v>
      </c>
    </row>
    <row r="50" spans="1:7">
      <c r="A50" s="174"/>
      <c r="B50" s="155">
        <f t="shared" si="5"/>
        <v>0</v>
      </c>
      <c r="C50" s="155">
        <f t="shared" si="5"/>
        <v>0</v>
      </c>
      <c r="D50" s="155">
        <f t="shared" si="5"/>
        <v>0</v>
      </c>
      <c r="E50" s="155">
        <f t="shared" si="5"/>
        <v>0</v>
      </c>
      <c r="F50" s="155">
        <f t="shared" si="5"/>
        <v>0</v>
      </c>
      <c r="G50" s="155">
        <f t="shared" si="5"/>
        <v>0</v>
      </c>
    </row>
    <row r="51" spans="1:7" hidden="1">
      <c r="A51" s="174"/>
      <c r="B51" s="155">
        <f t="shared" si="5"/>
        <v>0</v>
      </c>
      <c r="C51" s="155">
        <f t="shared" si="5"/>
        <v>0</v>
      </c>
      <c r="D51" s="155">
        <f t="shared" si="5"/>
        <v>0</v>
      </c>
      <c r="E51" s="155">
        <f t="shared" si="5"/>
        <v>0</v>
      </c>
      <c r="F51" s="155">
        <f t="shared" si="5"/>
        <v>0</v>
      </c>
      <c r="G51" s="155">
        <f t="shared" si="5"/>
        <v>0</v>
      </c>
    </row>
    <row r="52" spans="1:7" hidden="1">
      <c r="A52" s="174"/>
      <c r="B52" s="155">
        <f t="shared" ref="B52:D59" si="6">B33*18.06%</f>
        <v>0</v>
      </c>
      <c r="C52" s="155">
        <f t="shared" si="6"/>
        <v>0</v>
      </c>
      <c r="D52" s="155">
        <f t="shared" si="6"/>
        <v>0</v>
      </c>
      <c r="E52" s="155">
        <f>E27*18.06%</f>
        <v>0</v>
      </c>
      <c r="F52" s="155">
        <f t="shared" ref="F52:F59" si="7">F33*18.06%</f>
        <v>0</v>
      </c>
      <c r="G52" s="155">
        <f>G27*18.06%</f>
        <v>0</v>
      </c>
    </row>
    <row r="53" spans="1:7" hidden="1">
      <c r="A53" s="174"/>
      <c r="B53" s="155">
        <f t="shared" si="6"/>
        <v>0</v>
      </c>
      <c r="C53" s="155">
        <f t="shared" si="6"/>
        <v>0</v>
      </c>
      <c r="D53" s="155">
        <f t="shared" si="6"/>
        <v>0</v>
      </c>
      <c r="E53" s="155">
        <f t="shared" ref="E53:E59" si="8">E34*18.06%</f>
        <v>0</v>
      </c>
      <c r="F53" s="155">
        <f t="shared" si="7"/>
        <v>0</v>
      </c>
      <c r="G53" s="155">
        <f>G28*18.06%</f>
        <v>0</v>
      </c>
    </row>
    <row r="54" spans="1:7" hidden="1">
      <c r="A54" s="174"/>
      <c r="B54" s="155">
        <f t="shared" si="6"/>
        <v>0</v>
      </c>
      <c r="C54" s="155">
        <f t="shared" si="6"/>
        <v>0</v>
      </c>
      <c r="D54" s="155">
        <f t="shared" si="6"/>
        <v>0</v>
      </c>
      <c r="E54" s="155">
        <f t="shared" si="8"/>
        <v>0</v>
      </c>
      <c r="F54" s="155">
        <f t="shared" si="7"/>
        <v>0</v>
      </c>
      <c r="G54" s="155">
        <f>G29*18.06%</f>
        <v>0</v>
      </c>
    </row>
    <row r="55" spans="1:7" hidden="1">
      <c r="A55" s="174"/>
      <c r="B55" s="155">
        <f t="shared" si="6"/>
        <v>0</v>
      </c>
      <c r="C55" s="155">
        <f t="shared" si="6"/>
        <v>0</v>
      </c>
      <c r="D55" s="155">
        <f t="shared" si="6"/>
        <v>0</v>
      </c>
      <c r="E55" s="155">
        <f t="shared" si="8"/>
        <v>0</v>
      </c>
      <c r="F55" s="155">
        <f t="shared" si="7"/>
        <v>0</v>
      </c>
      <c r="G55" s="155">
        <f>G36*18.06%</f>
        <v>0</v>
      </c>
    </row>
    <row r="56" spans="1:7" hidden="1">
      <c r="A56" s="174"/>
      <c r="B56" s="155">
        <f t="shared" si="6"/>
        <v>0</v>
      </c>
      <c r="C56" s="155">
        <f t="shared" si="6"/>
        <v>0</v>
      </c>
      <c r="D56" s="155">
        <f t="shared" si="6"/>
        <v>0</v>
      </c>
      <c r="E56" s="155">
        <f t="shared" si="8"/>
        <v>0</v>
      </c>
      <c r="F56" s="155">
        <f t="shared" si="7"/>
        <v>0</v>
      </c>
      <c r="G56" s="155">
        <f>G37*18.06%</f>
        <v>0</v>
      </c>
    </row>
    <row r="57" spans="1:7" hidden="1">
      <c r="A57" s="174"/>
      <c r="B57" s="155">
        <f t="shared" si="6"/>
        <v>0</v>
      </c>
      <c r="C57" s="155">
        <f t="shared" si="6"/>
        <v>0</v>
      </c>
      <c r="D57" s="155">
        <f t="shared" si="6"/>
        <v>0</v>
      </c>
      <c r="E57" s="155">
        <f t="shared" si="8"/>
        <v>0</v>
      </c>
      <c r="F57" s="155">
        <f t="shared" si="7"/>
        <v>0</v>
      </c>
      <c r="G57" s="155">
        <f>G38*18.06%</f>
        <v>0</v>
      </c>
    </row>
    <row r="58" spans="1:7" hidden="1">
      <c r="A58" s="174"/>
      <c r="B58" s="155">
        <f t="shared" si="6"/>
        <v>0</v>
      </c>
      <c r="C58" s="155">
        <f t="shared" si="6"/>
        <v>0</v>
      </c>
      <c r="D58" s="155">
        <f t="shared" si="6"/>
        <v>0</v>
      </c>
      <c r="E58" s="155">
        <f t="shared" si="8"/>
        <v>0</v>
      </c>
      <c r="F58" s="155">
        <f t="shared" si="7"/>
        <v>0</v>
      </c>
      <c r="G58" s="155">
        <f>G39*18.06%</f>
        <v>0</v>
      </c>
    </row>
    <row r="59" spans="1:7">
      <c r="A59" s="174"/>
      <c r="B59" s="155">
        <f t="shared" si="6"/>
        <v>0</v>
      </c>
      <c r="C59" s="155">
        <f t="shared" si="6"/>
        <v>0</v>
      </c>
      <c r="D59" s="155">
        <f t="shared" si="6"/>
        <v>0</v>
      </c>
      <c r="E59" s="155">
        <f t="shared" si="8"/>
        <v>0</v>
      </c>
      <c r="F59" s="155">
        <f t="shared" si="7"/>
        <v>0</v>
      </c>
      <c r="G59" s="155">
        <f>G40*18.06%</f>
        <v>0</v>
      </c>
    </row>
    <row r="60" spans="1:7">
      <c r="A60" s="178" t="s">
        <v>18</v>
      </c>
      <c r="B60" s="179">
        <f t="shared" ref="B60:G60" si="9">SUM(B45:B59)</f>
        <v>21269.52</v>
      </c>
      <c r="C60" s="179">
        <f t="shared" si="9"/>
        <v>22120.300800000001</v>
      </c>
      <c r="D60" s="179">
        <f t="shared" si="9"/>
        <v>23005.112831999999</v>
      </c>
      <c r="E60" s="179">
        <f t="shared" si="9"/>
        <v>23925.31734528</v>
      </c>
      <c r="F60" s="179">
        <f t="shared" si="9"/>
        <v>24882.330039091201</v>
      </c>
      <c r="G60" s="179">
        <f t="shared" si="9"/>
        <v>25877.623240654852</v>
      </c>
    </row>
    <row r="62" spans="1:7">
      <c r="A62" s="315" t="s">
        <v>10</v>
      </c>
      <c r="B62" s="315"/>
      <c r="C62" s="315"/>
      <c r="D62" s="315"/>
      <c r="E62" s="315"/>
      <c r="F62" s="315"/>
      <c r="G62" s="315"/>
    </row>
    <row r="63" spans="1:7" ht="17.399999999999999">
      <c r="A63" s="174"/>
      <c r="B63" s="175">
        <f>'0.Panel'!$B$3</f>
        <v>2024</v>
      </c>
      <c r="C63" s="175">
        <f>B63+1</f>
        <v>2025</v>
      </c>
      <c r="D63" s="175">
        <f>C63+1</f>
        <v>2026</v>
      </c>
      <c r="E63" s="175">
        <f>D63+1</f>
        <v>2027</v>
      </c>
      <c r="F63" s="175">
        <f>E63+1</f>
        <v>2028</v>
      </c>
      <c r="G63" s="175">
        <f>F63+1</f>
        <v>2029</v>
      </c>
    </row>
    <row r="64" spans="1:7">
      <c r="A64" s="174" t="str">
        <f t="shared" ref="A64:A65" si="10">A45</f>
        <v>Współnik 1</v>
      </c>
      <c r="B64" s="155">
        <f t="shared" ref="B64:G71" si="11">B20+B45</f>
        <v>62234.76</v>
      </c>
      <c r="C64" s="155">
        <f t="shared" si="11"/>
        <v>64724.150399999999</v>
      </c>
      <c r="D64" s="155">
        <f t="shared" si="11"/>
        <v>67313.116416000004</v>
      </c>
      <c r="E64" s="155">
        <f t="shared" si="11"/>
        <v>70005.641072640006</v>
      </c>
      <c r="F64" s="155">
        <f t="shared" si="11"/>
        <v>72805.866715545606</v>
      </c>
      <c r="G64" s="155">
        <f t="shared" si="11"/>
        <v>75718.101384167428</v>
      </c>
    </row>
    <row r="65" spans="1:7">
      <c r="A65" s="174" t="str">
        <f t="shared" si="10"/>
        <v>Współnik 2</v>
      </c>
      <c r="B65" s="155">
        <f t="shared" si="11"/>
        <v>62234.76</v>
      </c>
      <c r="C65" s="155">
        <f t="shared" si="11"/>
        <v>64724.150399999999</v>
      </c>
      <c r="D65" s="155">
        <f t="shared" si="11"/>
        <v>67313.116416000004</v>
      </c>
      <c r="E65" s="155">
        <f t="shared" si="11"/>
        <v>70005.641072640006</v>
      </c>
      <c r="F65" s="155">
        <f t="shared" si="11"/>
        <v>72805.866715545606</v>
      </c>
      <c r="G65" s="155">
        <f t="shared" si="11"/>
        <v>75718.101384167428</v>
      </c>
    </row>
    <row r="66" spans="1:7">
      <c r="A66" s="174"/>
      <c r="B66" s="155">
        <f t="shared" si="11"/>
        <v>0</v>
      </c>
      <c r="C66" s="155">
        <f t="shared" si="11"/>
        <v>0</v>
      </c>
      <c r="D66" s="155">
        <f t="shared" si="11"/>
        <v>0</v>
      </c>
      <c r="E66" s="155">
        <f t="shared" si="11"/>
        <v>0</v>
      </c>
      <c r="F66" s="155">
        <f t="shared" si="11"/>
        <v>0</v>
      </c>
      <c r="G66" s="155">
        <f t="shared" si="11"/>
        <v>0</v>
      </c>
    </row>
    <row r="67" spans="1:7">
      <c r="A67" s="174"/>
      <c r="B67" s="155">
        <f t="shared" si="11"/>
        <v>0</v>
      </c>
      <c r="C67" s="155">
        <f t="shared" si="11"/>
        <v>0</v>
      </c>
      <c r="D67" s="155">
        <f t="shared" si="11"/>
        <v>0</v>
      </c>
      <c r="E67" s="155">
        <f t="shared" si="11"/>
        <v>0</v>
      </c>
      <c r="F67" s="155">
        <f t="shared" si="11"/>
        <v>0</v>
      </c>
      <c r="G67" s="155">
        <f t="shared" si="11"/>
        <v>0</v>
      </c>
    </row>
    <row r="68" spans="1:7">
      <c r="A68" s="174"/>
      <c r="B68" s="155">
        <f t="shared" si="11"/>
        <v>0</v>
      </c>
      <c r="C68" s="155">
        <f t="shared" si="11"/>
        <v>0</v>
      </c>
      <c r="D68" s="155">
        <f t="shared" si="11"/>
        <v>0</v>
      </c>
      <c r="E68" s="155">
        <f t="shared" si="11"/>
        <v>0</v>
      </c>
      <c r="F68" s="155">
        <f t="shared" si="11"/>
        <v>0</v>
      </c>
      <c r="G68" s="155">
        <f t="shared" si="11"/>
        <v>0</v>
      </c>
    </row>
    <row r="69" spans="1:7">
      <c r="A69" s="174"/>
      <c r="B69" s="155">
        <f t="shared" si="11"/>
        <v>0</v>
      </c>
      <c r="C69" s="155">
        <f t="shared" si="11"/>
        <v>0</v>
      </c>
      <c r="D69" s="155">
        <f t="shared" si="11"/>
        <v>0</v>
      </c>
      <c r="E69" s="155">
        <f t="shared" si="11"/>
        <v>0</v>
      </c>
      <c r="F69" s="155">
        <f t="shared" si="11"/>
        <v>0</v>
      </c>
      <c r="G69" s="155">
        <f t="shared" si="11"/>
        <v>0</v>
      </c>
    </row>
    <row r="70" spans="1:7" hidden="1">
      <c r="A70" s="174"/>
      <c r="B70" s="155">
        <f t="shared" si="11"/>
        <v>0</v>
      </c>
      <c r="C70" s="155">
        <f t="shared" si="11"/>
        <v>0</v>
      </c>
      <c r="D70" s="155">
        <f t="shared" si="11"/>
        <v>0</v>
      </c>
      <c r="E70" s="155">
        <f t="shared" si="11"/>
        <v>0</v>
      </c>
      <c r="F70" s="155">
        <f t="shared" si="11"/>
        <v>0</v>
      </c>
      <c r="G70" s="155">
        <f t="shared" si="11"/>
        <v>0</v>
      </c>
    </row>
    <row r="71" spans="1:7" hidden="1">
      <c r="A71" s="174"/>
      <c r="B71" s="155">
        <f t="shared" si="11"/>
        <v>0</v>
      </c>
      <c r="C71" s="155">
        <f t="shared" si="11"/>
        <v>0</v>
      </c>
      <c r="D71" s="155">
        <f t="shared" si="11"/>
        <v>0</v>
      </c>
      <c r="E71" s="155">
        <f t="shared" si="11"/>
        <v>0</v>
      </c>
      <c r="F71" s="155">
        <f t="shared" si="11"/>
        <v>0</v>
      </c>
      <c r="G71" s="155">
        <f t="shared" si="11"/>
        <v>0</v>
      </c>
    </row>
    <row r="72" spans="1:7" hidden="1">
      <c r="A72" s="174"/>
      <c r="B72" s="155">
        <f>B28+B53</f>
        <v>0</v>
      </c>
      <c r="C72" s="155">
        <f t="shared" ref="C72:F78" si="12">C34+C53</f>
        <v>0</v>
      </c>
      <c r="D72" s="155">
        <f t="shared" si="12"/>
        <v>0</v>
      </c>
      <c r="E72" s="155">
        <f t="shared" si="12"/>
        <v>0</v>
      </c>
      <c r="F72" s="155">
        <f t="shared" si="12"/>
        <v>0</v>
      </c>
      <c r="G72" s="155">
        <f>G28+G53</f>
        <v>0</v>
      </c>
    </row>
    <row r="73" spans="1:7" hidden="1">
      <c r="A73" s="174"/>
      <c r="B73" s="155">
        <f>B29+B54</f>
        <v>0</v>
      </c>
      <c r="C73" s="155">
        <f t="shared" si="12"/>
        <v>0</v>
      </c>
      <c r="D73" s="155">
        <f t="shared" si="12"/>
        <v>0</v>
      </c>
      <c r="E73" s="155">
        <f t="shared" si="12"/>
        <v>0</v>
      </c>
      <c r="F73" s="155">
        <f t="shared" si="12"/>
        <v>0</v>
      </c>
      <c r="G73" s="155">
        <f>G29+G54</f>
        <v>0</v>
      </c>
    </row>
    <row r="74" spans="1:7" hidden="1">
      <c r="A74" s="174"/>
      <c r="B74" s="155">
        <f>B36+B55</f>
        <v>0</v>
      </c>
      <c r="C74" s="155">
        <f t="shared" si="12"/>
        <v>0</v>
      </c>
      <c r="D74" s="155">
        <f t="shared" si="12"/>
        <v>0</v>
      </c>
      <c r="E74" s="155">
        <f t="shared" si="12"/>
        <v>0</v>
      </c>
      <c r="F74" s="155">
        <f t="shared" si="12"/>
        <v>0</v>
      </c>
      <c r="G74" s="155">
        <f>G36+G55</f>
        <v>0</v>
      </c>
    </row>
    <row r="75" spans="1:7" hidden="1">
      <c r="A75" s="174"/>
      <c r="B75" s="155">
        <f>B37+B56</f>
        <v>0</v>
      </c>
      <c r="C75" s="155">
        <f t="shared" si="12"/>
        <v>0</v>
      </c>
      <c r="D75" s="155">
        <f t="shared" si="12"/>
        <v>0</v>
      </c>
      <c r="E75" s="155">
        <f t="shared" si="12"/>
        <v>0</v>
      </c>
      <c r="F75" s="155">
        <f t="shared" si="12"/>
        <v>0</v>
      </c>
      <c r="G75" s="155">
        <f>G37+G56</f>
        <v>0</v>
      </c>
    </row>
    <row r="76" spans="1:7" hidden="1">
      <c r="A76" s="174"/>
      <c r="B76" s="155">
        <f>B38+B57</f>
        <v>0</v>
      </c>
      <c r="C76" s="155">
        <f t="shared" si="12"/>
        <v>0</v>
      </c>
      <c r="D76" s="155">
        <f t="shared" si="12"/>
        <v>0</v>
      </c>
      <c r="E76" s="155">
        <f t="shared" si="12"/>
        <v>0</v>
      </c>
      <c r="F76" s="155">
        <f t="shared" si="12"/>
        <v>0</v>
      </c>
      <c r="G76" s="155">
        <f>G38+G57</f>
        <v>0</v>
      </c>
    </row>
    <row r="77" spans="1:7" hidden="1">
      <c r="A77" s="174"/>
      <c r="B77" s="155">
        <f>B39+B58</f>
        <v>0</v>
      </c>
      <c r="C77" s="155">
        <f t="shared" si="12"/>
        <v>0</v>
      </c>
      <c r="D77" s="155">
        <f t="shared" si="12"/>
        <v>0</v>
      </c>
      <c r="E77" s="155">
        <f t="shared" si="12"/>
        <v>0</v>
      </c>
      <c r="F77" s="155">
        <f t="shared" si="12"/>
        <v>0</v>
      </c>
      <c r="G77" s="155">
        <f>G39+G58</f>
        <v>0</v>
      </c>
    </row>
    <row r="78" spans="1:7">
      <c r="A78" s="174"/>
      <c r="B78" s="155">
        <f>B40+B59</f>
        <v>0</v>
      </c>
      <c r="C78" s="155">
        <f t="shared" si="12"/>
        <v>0</v>
      </c>
      <c r="D78" s="155">
        <f t="shared" si="12"/>
        <v>0</v>
      </c>
      <c r="E78" s="155">
        <f t="shared" si="12"/>
        <v>0</v>
      </c>
      <c r="F78" s="155">
        <f t="shared" si="12"/>
        <v>0</v>
      </c>
      <c r="G78" s="155">
        <f>G40+G59</f>
        <v>0</v>
      </c>
    </row>
    <row r="79" spans="1:7">
      <c r="A79" s="178" t="s">
        <v>18</v>
      </c>
      <c r="B79" s="179">
        <f t="shared" ref="B79:G79" si="13">SUM(B64:B78)</f>
        <v>124469.52</v>
      </c>
      <c r="C79" s="179">
        <f t="shared" si="13"/>
        <v>129448.3008</v>
      </c>
      <c r="D79" s="179">
        <f t="shared" si="13"/>
        <v>134626.23283200001</v>
      </c>
      <c r="E79" s="179">
        <f t="shared" si="13"/>
        <v>140011.28214528001</v>
      </c>
      <c r="F79" s="179">
        <f t="shared" si="13"/>
        <v>145611.73343109121</v>
      </c>
      <c r="G79" s="179">
        <f t="shared" si="13"/>
        <v>151436.20276833486</v>
      </c>
    </row>
    <row r="82" spans="1:8">
      <c r="A82" s="315" t="s">
        <v>262</v>
      </c>
      <c r="B82" s="315"/>
      <c r="C82" s="315"/>
      <c r="D82" s="315"/>
      <c r="E82" s="315"/>
      <c r="F82" s="315"/>
      <c r="G82" s="315"/>
    </row>
    <row r="83" spans="1:8" ht="17.399999999999999">
      <c r="A83" s="174"/>
      <c r="B83" s="175">
        <f>'0.Panel'!$B$3</f>
        <v>2024</v>
      </c>
      <c r="C83" s="175">
        <f>B83+1</f>
        <v>2025</v>
      </c>
      <c r="D83" s="175">
        <f>C83+1</f>
        <v>2026</v>
      </c>
      <c r="E83" s="175">
        <f>D83+1</f>
        <v>2027</v>
      </c>
      <c r="F83" s="175">
        <f>E83+1</f>
        <v>2028</v>
      </c>
      <c r="G83" s="175">
        <f>F83+1</f>
        <v>2029</v>
      </c>
    </row>
    <row r="84" spans="1:8" ht="17.399999999999999">
      <c r="A84" s="30" t="s">
        <v>341</v>
      </c>
      <c r="B84" s="28">
        <f>150*10*12</f>
        <v>18000</v>
      </c>
      <c r="C84" s="28">
        <f>B84+B84*'0.Panel'!$B$23</f>
        <v>18720</v>
      </c>
      <c r="D84" s="28">
        <f>C84+C84*'0.Panel'!$B$23</f>
        <v>19468.8</v>
      </c>
      <c r="E84" s="28">
        <f>D84+D84*'0.Panel'!$B$23</f>
        <v>20247.552</v>
      </c>
      <c r="F84" s="28">
        <f>E84+E84*'0.Panel'!$B$23</f>
        <v>21057.45408</v>
      </c>
      <c r="G84" s="28">
        <f>F84+F84*'0.Panel'!$B$23</f>
        <v>21899.752243200001</v>
      </c>
      <c r="H84" s="36" t="s">
        <v>295</v>
      </c>
    </row>
    <row r="85" spans="1:8" hidden="1">
      <c r="A85" s="27" t="s">
        <v>21</v>
      </c>
      <c r="B85" s="28">
        <f t="shared" ref="B85" si="14">120*12</f>
        <v>1440</v>
      </c>
      <c r="C85" s="28">
        <f>B85+B85*'0.Panel'!$B$23</f>
        <v>1497.6</v>
      </c>
      <c r="D85" s="28">
        <f>C85+C85*'0.Panel'!$B$23</f>
        <v>1557.5039999999999</v>
      </c>
      <c r="E85" s="28">
        <f>D85+D85*'0.Panel'!$B$23</f>
        <v>1619.8041599999999</v>
      </c>
      <c r="F85" s="28">
        <f>E85+E85*'0.Panel'!$B$23</f>
        <v>1684.5963264</v>
      </c>
      <c r="G85" s="28">
        <f>F85+F85*'0.Panel'!$B$23</f>
        <v>1751.9801794559999</v>
      </c>
    </row>
    <row r="86" spans="1:8" hidden="1">
      <c r="A86" s="32"/>
      <c r="B86" s="31"/>
      <c r="C86" s="28">
        <f>B86+B86*'0.Panel'!$B$23</f>
        <v>0</v>
      </c>
      <c r="D86" s="28">
        <f>C86+C86*'0.Panel'!$B$23</f>
        <v>0</v>
      </c>
      <c r="E86" s="28">
        <f>D86+D86*'0.Panel'!$B$23</f>
        <v>0</v>
      </c>
      <c r="F86" s="28">
        <f>E86+E86*'0.Panel'!$B$23</f>
        <v>0</v>
      </c>
      <c r="G86" s="28">
        <f>F86+F86*'0.Panel'!$B$23</f>
        <v>0</v>
      </c>
    </row>
    <row r="87" spans="1:8" hidden="1">
      <c r="A87" s="33"/>
      <c r="B87" s="31"/>
      <c r="C87" s="28">
        <f>B87+B87*'0.Panel'!$B$23</f>
        <v>0</v>
      </c>
      <c r="D87" s="28">
        <f>C87+C87*'0.Panel'!$B$23</f>
        <v>0</v>
      </c>
      <c r="E87" s="28">
        <f>D87+D87*'0.Panel'!$B$23</f>
        <v>0</v>
      </c>
      <c r="F87" s="28">
        <f>E87+E87*'0.Panel'!$B$23</f>
        <v>0</v>
      </c>
      <c r="G87" s="28">
        <f>F87+F87*'0.Panel'!$B$23</f>
        <v>0</v>
      </c>
    </row>
    <row r="88" spans="1:8" hidden="1">
      <c r="A88" s="26"/>
      <c r="B88" s="31"/>
      <c r="C88" s="28">
        <f>B88+B88*'0.Panel'!$B$23</f>
        <v>0</v>
      </c>
      <c r="D88" s="28">
        <f>C88+C88*'0.Panel'!$B$23</f>
        <v>0</v>
      </c>
      <c r="E88" s="28">
        <f>D88+D88*'0.Panel'!$B$23</f>
        <v>0</v>
      </c>
      <c r="F88" s="28">
        <f>E88+E88*'0.Panel'!$B$23</f>
        <v>0</v>
      </c>
      <c r="G88" s="28">
        <f>F88+F88*'0.Panel'!$B$23</f>
        <v>0</v>
      </c>
    </row>
    <row r="89" spans="1:8" hidden="1">
      <c r="A89" s="26"/>
      <c r="B89" s="31"/>
      <c r="C89" s="28">
        <f>B89+B89*'0.Panel'!$B$23</f>
        <v>0</v>
      </c>
      <c r="D89" s="28">
        <f>C89+C89*'0.Panel'!$B$23</f>
        <v>0</v>
      </c>
      <c r="E89" s="28">
        <f>D89+D89*'0.Panel'!$B$23</f>
        <v>0</v>
      </c>
      <c r="F89" s="28">
        <f>E89+E89*'0.Panel'!$B$23</f>
        <v>0</v>
      </c>
      <c r="G89" s="28">
        <f>F89+F89*'0.Panel'!$B$23</f>
        <v>0</v>
      </c>
    </row>
    <row r="90" spans="1:8" hidden="1">
      <c r="A90" s="26"/>
      <c r="B90" s="31"/>
      <c r="C90" s="28">
        <f>B90+B90*'0.Panel'!$B$23</f>
        <v>0</v>
      </c>
      <c r="D90" s="28">
        <f>C90+C90*'0.Panel'!$B$23</f>
        <v>0</v>
      </c>
      <c r="E90" s="28">
        <f>D90+D90*'0.Panel'!$B$23</f>
        <v>0</v>
      </c>
      <c r="F90" s="28">
        <f>E90+E90*'0.Panel'!$B$23</f>
        <v>0</v>
      </c>
      <c r="G90" s="28">
        <f>F90+F90*'0.Panel'!$B$23</f>
        <v>0</v>
      </c>
    </row>
    <row r="91" spans="1:8" hidden="1">
      <c r="A91" s="26"/>
      <c r="B91" s="31"/>
      <c r="C91" s="28">
        <f>B91+B91*'0.Panel'!$B$23</f>
        <v>0</v>
      </c>
      <c r="D91" s="28">
        <f>C91+C91*'0.Panel'!$B$23</f>
        <v>0</v>
      </c>
      <c r="E91" s="28">
        <f>D91+D91*'0.Panel'!$B$23</f>
        <v>0</v>
      </c>
      <c r="F91" s="28">
        <f>E91+E91*'0.Panel'!$B$23</f>
        <v>0</v>
      </c>
      <c r="G91" s="28">
        <f>F91+F91*'0.Panel'!$B$23</f>
        <v>0</v>
      </c>
    </row>
    <row r="92" spans="1:8" hidden="1">
      <c r="A92" s="26"/>
      <c r="B92" s="31"/>
      <c r="C92" s="28">
        <f>B92+B92*'0.Panel'!$B$23</f>
        <v>0</v>
      </c>
      <c r="D92" s="28">
        <f>C92+C92*'0.Panel'!$B$23</f>
        <v>0</v>
      </c>
      <c r="E92" s="28">
        <f>D92+D92*'0.Panel'!$B$23</f>
        <v>0</v>
      </c>
      <c r="F92" s="28">
        <f>E92+E92*'0.Panel'!$B$23</f>
        <v>0</v>
      </c>
      <c r="G92" s="28">
        <f>F92+F92*'0.Panel'!$B$23</f>
        <v>0</v>
      </c>
    </row>
    <row r="93" spans="1:8" hidden="1">
      <c r="A93" s="26"/>
      <c r="B93" s="31"/>
      <c r="C93" s="28">
        <f>B93+B93*'0.Panel'!$B$23</f>
        <v>0</v>
      </c>
      <c r="D93" s="28">
        <f>C93+C93*'0.Panel'!$B$23</f>
        <v>0</v>
      </c>
      <c r="E93" s="28">
        <f>D93+D93*'0.Panel'!$B$23</f>
        <v>0</v>
      </c>
      <c r="F93" s="28">
        <f>E93+E93*'0.Panel'!$B$23</f>
        <v>0</v>
      </c>
      <c r="G93" s="28">
        <f>F93+F93*'0.Panel'!$B$23</f>
        <v>0</v>
      </c>
    </row>
    <row r="94" spans="1:8" hidden="1">
      <c r="A94" s="26"/>
      <c r="B94" s="31"/>
      <c r="C94" s="28">
        <f>B94+B94*'0.Panel'!$B$23</f>
        <v>0</v>
      </c>
      <c r="D94" s="28">
        <f>C94+C94*'0.Panel'!$B$23</f>
        <v>0</v>
      </c>
      <c r="E94" s="28">
        <f>D94+D94*'0.Panel'!$B$23</f>
        <v>0</v>
      </c>
      <c r="F94" s="28">
        <f>E94+E94*'0.Panel'!$B$23</f>
        <v>0</v>
      </c>
      <c r="G94" s="28">
        <f>F94+F94*'0.Panel'!$B$23</f>
        <v>0</v>
      </c>
    </row>
    <row r="95" spans="1:8" hidden="1">
      <c r="A95" s="26"/>
      <c r="B95" s="31"/>
      <c r="C95" s="28">
        <f>B95+B95*'0.Panel'!$B$23</f>
        <v>0</v>
      </c>
      <c r="D95" s="28">
        <f>C95+C95*'0.Panel'!$B$23</f>
        <v>0</v>
      </c>
      <c r="E95" s="28">
        <f>D95+D95*'0.Panel'!$B$23</f>
        <v>0</v>
      </c>
      <c r="F95" s="28">
        <f>E95+E95*'0.Panel'!$B$23</f>
        <v>0</v>
      </c>
      <c r="G95" s="28">
        <f>F95+F95*'0.Panel'!$B$23</f>
        <v>0</v>
      </c>
    </row>
    <row r="96" spans="1:8" hidden="1">
      <c r="A96" s="26"/>
      <c r="B96" s="31"/>
      <c r="C96" s="28">
        <f>B96+B96*'0.Panel'!$B$23</f>
        <v>0</v>
      </c>
      <c r="D96" s="28">
        <f>C96+C96*'0.Panel'!$B$23</f>
        <v>0</v>
      </c>
      <c r="E96" s="28">
        <f>D96+D96*'0.Panel'!$B$23</f>
        <v>0</v>
      </c>
      <c r="F96" s="28">
        <f>E96+E96*'0.Panel'!$B$23</f>
        <v>0</v>
      </c>
      <c r="G96" s="28">
        <f>F96+F96*'0.Panel'!$B$23</f>
        <v>0</v>
      </c>
    </row>
    <row r="97" spans="1:7" hidden="1">
      <c r="A97" s="26"/>
      <c r="B97" s="31"/>
      <c r="C97" s="28">
        <f>B97+B97*'0.Panel'!$B$23</f>
        <v>0</v>
      </c>
      <c r="D97" s="28">
        <f>C97+C97*'0.Panel'!$B$23</f>
        <v>0</v>
      </c>
      <c r="E97" s="28">
        <f>D97+D97*'0.Panel'!$B$23</f>
        <v>0</v>
      </c>
      <c r="F97" s="28">
        <f>E97+E97*'0.Panel'!$B$23</f>
        <v>0</v>
      </c>
      <c r="G97" s="28">
        <f>F97+F97*'0.Panel'!$B$23</f>
        <v>0</v>
      </c>
    </row>
    <row r="98" spans="1:7">
      <c r="A98" s="27" t="s">
        <v>396</v>
      </c>
      <c r="B98" s="28">
        <f>500*12</f>
        <v>6000</v>
      </c>
      <c r="C98" s="28">
        <f>B98+B98*'0.Panel'!$B$23</f>
        <v>6240</v>
      </c>
      <c r="D98" s="28">
        <f>C98+C98*'0.Panel'!$B$23</f>
        <v>6489.6</v>
      </c>
      <c r="E98" s="28">
        <f>D98+D98*'0.Panel'!$B$23</f>
        <v>6749.1840000000002</v>
      </c>
      <c r="F98" s="28">
        <f>E98+E98*'0.Panel'!$B$23</f>
        <v>7019.1513599999998</v>
      </c>
      <c r="G98" s="28">
        <f>F98+F98*'0.Panel'!$B$23</f>
        <v>7299.9174143999999</v>
      </c>
    </row>
    <row r="99" spans="1:7">
      <c r="A99" s="27"/>
      <c r="B99" s="28"/>
      <c r="C99" s="28"/>
      <c r="D99" s="28"/>
      <c r="E99" s="28"/>
      <c r="F99" s="28"/>
      <c r="G99" s="28"/>
    </row>
    <row r="100" spans="1:7">
      <c r="A100" s="27"/>
      <c r="B100" s="27"/>
      <c r="C100" s="27"/>
      <c r="D100" s="27"/>
      <c r="E100" s="27"/>
      <c r="F100" s="27"/>
      <c r="G100" s="27"/>
    </row>
    <row r="101" spans="1:7">
      <c r="A101" s="178" t="s">
        <v>18</v>
      </c>
      <c r="B101" s="179">
        <f t="shared" ref="B101:G101" si="15">SUM(B84:B99)</f>
        <v>25440</v>
      </c>
      <c r="C101" s="179">
        <f t="shared" si="15"/>
        <v>26457.599999999999</v>
      </c>
      <c r="D101" s="179">
        <f t="shared" si="15"/>
        <v>27515.904000000002</v>
      </c>
      <c r="E101" s="179">
        <f t="shared" si="15"/>
        <v>28616.54016</v>
      </c>
      <c r="F101" s="179">
        <f t="shared" si="15"/>
        <v>29761.201766399998</v>
      </c>
      <c r="G101" s="179">
        <f t="shared" si="15"/>
        <v>30951.649837056</v>
      </c>
    </row>
    <row r="104" spans="1:7">
      <c r="A104" s="315" t="str">
        <f>'2.Rachunek zysków i start'!A16</f>
        <v xml:space="preserve">  Koszty finansowe (np. odsetki)</v>
      </c>
      <c r="B104" s="315"/>
      <c r="C104" s="315"/>
      <c r="D104" s="315"/>
      <c r="E104" s="315"/>
      <c r="F104" s="315"/>
      <c r="G104" s="315"/>
    </row>
    <row r="105" spans="1:7" ht="17.399999999999999">
      <c r="A105" s="174"/>
      <c r="B105" s="175">
        <f>'0.Panel'!$B$3</f>
        <v>2024</v>
      </c>
      <c r="C105" s="175">
        <f>B105+1</f>
        <v>2025</v>
      </c>
      <c r="D105" s="175">
        <f>C105+1</f>
        <v>2026</v>
      </c>
      <c r="E105" s="175">
        <f>D105+1</f>
        <v>2027</v>
      </c>
      <c r="F105" s="175">
        <f>E105+1</f>
        <v>2028</v>
      </c>
      <c r="G105" s="175">
        <f>F105+1</f>
        <v>2029</v>
      </c>
    </row>
    <row r="106" spans="1:7">
      <c r="A106" s="27" t="s">
        <v>160</v>
      </c>
      <c r="B106" s="28">
        <f>'9.Kredyt'!$F$17</f>
        <v>7305.5278715837167</v>
      </c>
      <c r="C106" s="28">
        <f>'9.Kredyt'!$F$17</f>
        <v>7305.5278715837167</v>
      </c>
      <c r="D106" s="28">
        <f>'9.Kredyt'!$F$17</f>
        <v>7305.5278715837167</v>
      </c>
      <c r="E106" s="28">
        <f>'9.Kredyt'!$F$17</f>
        <v>7305.5278715837167</v>
      </c>
      <c r="F106" s="28">
        <f>'9.Kredyt'!$F$17</f>
        <v>7305.5278715837167</v>
      </c>
      <c r="G106" s="28">
        <f>'9.Kredyt'!$F$17</f>
        <v>7305.5278715837167</v>
      </c>
    </row>
    <row r="107" spans="1:7">
      <c r="A107" s="27"/>
      <c r="B107" s="28"/>
      <c r="C107" s="28"/>
      <c r="D107" s="28"/>
      <c r="E107" s="28"/>
      <c r="F107" s="28"/>
      <c r="G107" s="28"/>
    </row>
    <row r="108" spans="1:7">
      <c r="A108" s="178" t="s">
        <v>18</v>
      </c>
      <c r="B108" s="179">
        <f t="shared" ref="B108:G108" si="16">SUM(B106:B107)</f>
        <v>7305.5278715837167</v>
      </c>
      <c r="C108" s="179">
        <f t="shared" si="16"/>
        <v>7305.5278715837167</v>
      </c>
      <c r="D108" s="179">
        <f t="shared" si="16"/>
        <v>7305.5278715837167</v>
      </c>
      <c r="E108" s="179">
        <f t="shared" si="16"/>
        <v>7305.5278715837167</v>
      </c>
      <c r="F108" s="179">
        <f t="shared" si="16"/>
        <v>7305.5278715837167</v>
      </c>
      <c r="G108" s="179">
        <f t="shared" si="16"/>
        <v>7305.5278715837167</v>
      </c>
    </row>
    <row r="111" spans="1:7">
      <c r="A111" s="315" t="s">
        <v>263</v>
      </c>
      <c r="B111" s="315"/>
      <c r="C111" s="315"/>
      <c r="D111" s="315"/>
      <c r="E111" s="315"/>
      <c r="F111" s="315"/>
      <c r="G111" s="315"/>
    </row>
    <row r="112" spans="1:7" ht="17.399999999999999">
      <c r="A112" s="174"/>
      <c r="B112" s="175">
        <f>'0.Panel'!$B$3</f>
        <v>2024</v>
      </c>
      <c r="C112" s="175">
        <f>B112+1</f>
        <v>2025</v>
      </c>
      <c r="D112" s="175">
        <f>C112+1</f>
        <v>2026</v>
      </c>
      <c r="E112" s="175">
        <f>D112+1</f>
        <v>2027</v>
      </c>
      <c r="F112" s="175">
        <f>E112+1</f>
        <v>2028</v>
      </c>
      <c r="G112" s="175">
        <f>F112+1</f>
        <v>2029</v>
      </c>
    </row>
    <row r="113" spans="1:8" ht="17.399999999999999">
      <c r="A113" s="27"/>
      <c r="B113" s="28"/>
      <c r="C113" s="28"/>
      <c r="D113" s="28"/>
      <c r="E113" s="28"/>
      <c r="F113" s="28"/>
      <c r="G113" s="28"/>
      <c r="H113" s="36" t="s">
        <v>295</v>
      </c>
    </row>
    <row r="114" spans="1:8">
      <c r="A114" s="27"/>
      <c r="B114" s="28"/>
      <c r="C114" s="28"/>
      <c r="D114" s="28"/>
      <c r="E114" s="28"/>
      <c r="F114" s="28"/>
      <c r="G114" s="28"/>
    </row>
    <row r="115" spans="1:8">
      <c r="A115" s="27"/>
      <c r="B115" s="28"/>
      <c r="C115" s="28"/>
      <c r="D115" s="28"/>
      <c r="E115" s="28"/>
      <c r="F115" s="28"/>
      <c r="G115" s="28"/>
    </row>
    <row r="116" spans="1:8">
      <c r="A116" s="27"/>
      <c r="B116" s="28"/>
      <c r="C116" s="28"/>
      <c r="D116" s="28"/>
      <c r="E116" s="28"/>
      <c r="F116" s="28"/>
      <c r="G116" s="28"/>
    </row>
    <row r="117" spans="1:8">
      <c r="A117" s="27"/>
      <c r="B117" s="28"/>
      <c r="C117" s="28"/>
      <c r="D117" s="28"/>
      <c r="E117" s="28"/>
      <c r="F117" s="28"/>
      <c r="G117" s="28"/>
    </row>
    <row r="118" spans="1:8">
      <c r="A118" s="27"/>
      <c r="B118" s="28"/>
      <c r="C118" s="28"/>
      <c r="D118" s="28"/>
      <c r="E118" s="28"/>
      <c r="F118" s="28"/>
      <c r="G118" s="28"/>
    </row>
    <row r="119" spans="1:8">
      <c r="A119" s="27"/>
      <c r="B119" s="28"/>
      <c r="C119" s="28"/>
      <c r="D119" s="28"/>
      <c r="E119" s="28"/>
      <c r="F119" s="28"/>
      <c r="G119" s="28"/>
    </row>
    <row r="120" spans="1:8">
      <c r="A120" s="27"/>
      <c r="B120" s="28"/>
      <c r="C120" s="28"/>
      <c r="D120" s="28"/>
      <c r="E120" s="28"/>
      <c r="F120" s="28"/>
      <c r="G120" s="28"/>
    </row>
    <row r="121" spans="1:8">
      <c r="A121" s="27"/>
      <c r="B121" s="28"/>
      <c r="C121" s="28"/>
      <c r="D121" s="28"/>
      <c r="E121" s="28"/>
      <c r="F121" s="28"/>
      <c r="G121" s="28"/>
    </row>
    <row r="122" spans="1:8">
      <c r="A122" s="27"/>
      <c r="B122" s="28"/>
      <c r="C122" s="28"/>
      <c r="D122" s="28"/>
      <c r="E122" s="28"/>
      <c r="F122" s="28"/>
      <c r="G122" s="28"/>
    </row>
    <row r="123" spans="1:8">
      <c r="A123" s="27"/>
      <c r="B123" s="28"/>
      <c r="C123" s="28"/>
      <c r="D123" s="28"/>
      <c r="E123" s="28"/>
      <c r="F123" s="28"/>
      <c r="G123" s="28"/>
    </row>
    <row r="124" spans="1:8">
      <c r="A124" s="27"/>
      <c r="B124" s="28"/>
      <c r="C124" s="28"/>
      <c r="D124" s="28"/>
      <c r="E124" s="28"/>
      <c r="F124" s="28"/>
      <c r="G124" s="28"/>
    </row>
    <row r="125" spans="1:8">
      <c r="A125" s="27"/>
      <c r="B125" s="28"/>
      <c r="C125" s="28"/>
      <c r="D125" s="28"/>
      <c r="E125" s="28"/>
      <c r="F125" s="28"/>
      <c r="G125" s="28"/>
    </row>
    <row r="126" spans="1:8">
      <c r="A126" s="27"/>
      <c r="B126" s="28"/>
      <c r="C126" s="28"/>
      <c r="D126" s="28"/>
      <c r="E126" s="28"/>
      <c r="F126" s="28"/>
      <c r="G126" s="28"/>
    </row>
    <row r="127" spans="1:8">
      <c r="A127" s="27"/>
      <c r="B127" s="28"/>
      <c r="C127" s="28"/>
      <c r="D127" s="28"/>
      <c r="E127" s="28"/>
      <c r="F127" s="28"/>
      <c r="G127" s="28"/>
    </row>
    <row r="128" spans="1:8">
      <c r="A128" s="178" t="s">
        <v>18</v>
      </c>
      <c r="B128" s="179">
        <f t="shared" ref="B128:G128" si="17">SUM(B113:B127)</f>
        <v>0</v>
      </c>
      <c r="C128" s="179">
        <f t="shared" si="17"/>
        <v>0</v>
      </c>
      <c r="D128" s="179">
        <f t="shared" si="17"/>
        <v>0</v>
      </c>
      <c r="E128" s="179">
        <f t="shared" si="17"/>
        <v>0</v>
      </c>
      <c r="F128" s="179">
        <f t="shared" si="17"/>
        <v>0</v>
      </c>
      <c r="G128" s="179">
        <f t="shared" si="17"/>
        <v>0</v>
      </c>
    </row>
    <row r="129" spans="1:8" ht="32.4" customHeight="1"/>
    <row r="130" spans="1:8" ht="75" customHeight="1">
      <c r="A130" s="311" t="s">
        <v>402</v>
      </c>
      <c r="B130" s="312"/>
      <c r="C130" s="312"/>
      <c r="D130" s="312"/>
      <c r="E130" s="312"/>
    </row>
    <row r="131" spans="1:8">
      <c r="A131" s="315" t="s">
        <v>181</v>
      </c>
      <c r="B131" s="315"/>
      <c r="C131" s="315"/>
      <c r="D131" s="315"/>
      <c r="E131" s="315"/>
      <c r="F131" s="315"/>
      <c r="G131" s="315"/>
    </row>
    <row r="132" spans="1:8" ht="17.399999999999999" hidden="1">
      <c r="A132" s="174"/>
      <c r="B132" s="175">
        <f>'0.Panel'!$B$3</f>
        <v>2024</v>
      </c>
      <c r="C132" s="175">
        <f t="shared" ref="C132:G133" si="18">B132+1</f>
        <v>2025</v>
      </c>
      <c r="D132" s="175">
        <f t="shared" si="18"/>
        <v>2026</v>
      </c>
      <c r="E132" s="175">
        <f t="shared" si="18"/>
        <v>2027</v>
      </c>
      <c r="F132" s="175">
        <f t="shared" si="18"/>
        <v>2028</v>
      </c>
      <c r="G132" s="175">
        <f t="shared" si="18"/>
        <v>2029</v>
      </c>
    </row>
    <row r="133" spans="1:8" ht="17.399999999999999">
      <c r="A133" s="183"/>
      <c r="B133" s="175">
        <f>'0.Panel'!$B$3</f>
        <v>2024</v>
      </c>
      <c r="C133" s="175">
        <f t="shared" si="18"/>
        <v>2025</v>
      </c>
      <c r="D133" s="175">
        <f t="shared" si="18"/>
        <v>2026</v>
      </c>
      <c r="E133" s="175">
        <f t="shared" si="18"/>
        <v>2027</v>
      </c>
      <c r="F133" s="175">
        <f t="shared" si="18"/>
        <v>2028</v>
      </c>
      <c r="G133" s="175">
        <f t="shared" si="18"/>
        <v>2029</v>
      </c>
    </row>
    <row r="134" spans="1:8" hidden="1">
      <c r="A134" s="184" t="s">
        <v>266</v>
      </c>
      <c r="B134" s="177">
        <v>1050</v>
      </c>
      <c r="C134" s="177">
        <f>B134+B134*'0.Panel'!$B$23</f>
        <v>1092</v>
      </c>
      <c r="D134" s="177">
        <f>C134+C134*'0.Panel'!$B$23</f>
        <v>1135.68</v>
      </c>
      <c r="E134" s="177">
        <f>D134+D134*'0.Panel'!$B$23</f>
        <v>1181.1072000000001</v>
      </c>
      <c r="F134" s="177">
        <f>E134+E134*'0.Panel'!$B$23</f>
        <v>1228.3514880000002</v>
      </c>
      <c r="G134" s="177">
        <f>F134+F134*'0.Panel'!$B$23</f>
        <v>1277.4855475200002</v>
      </c>
      <c r="H134" s="182"/>
    </row>
    <row r="135" spans="1:8" ht="17.399999999999999">
      <c r="A135" s="27" t="s">
        <v>342</v>
      </c>
      <c r="B135" s="28">
        <v>200</v>
      </c>
      <c r="C135" s="28">
        <f>B135+B135*'0.Panel'!$B$23</f>
        <v>208</v>
      </c>
      <c r="D135" s="28">
        <f>C135+C135*'0.Panel'!$B$23</f>
        <v>216.32</v>
      </c>
      <c r="E135" s="28">
        <f>D135+D135*'0.Panel'!$B$23</f>
        <v>224.97280000000001</v>
      </c>
      <c r="F135" s="28">
        <f>E135+E135*'0.Panel'!$B$23</f>
        <v>233.971712</v>
      </c>
      <c r="G135" s="28">
        <f>F135+F135*'0.Panel'!$B$23</f>
        <v>243.33058048000001</v>
      </c>
      <c r="H135" s="36" t="s">
        <v>295</v>
      </c>
    </row>
    <row r="136" spans="1:8">
      <c r="A136" s="27" t="s">
        <v>343</v>
      </c>
      <c r="B136" s="28">
        <f t="shared" ref="B136" si="19">300*2</f>
        <v>600</v>
      </c>
      <c r="C136" s="28">
        <f>B136+B136*'0.Panel'!$B$23</f>
        <v>624</v>
      </c>
      <c r="D136" s="28">
        <f>C136+C136*'0.Panel'!$B$23</f>
        <v>648.96</v>
      </c>
      <c r="E136" s="28">
        <f>D136+D136*'0.Panel'!$B$23</f>
        <v>674.91840000000002</v>
      </c>
      <c r="F136" s="28">
        <f>E136+E136*'0.Panel'!$B$23</f>
        <v>701.91513600000008</v>
      </c>
      <c r="G136" s="28">
        <f>F136+F136*'0.Panel'!$B$23</f>
        <v>729.99174144000006</v>
      </c>
    </row>
    <row r="137" spans="1:8">
      <c r="A137" s="27" t="s">
        <v>344</v>
      </c>
      <c r="B137" s="28">
        <v>5000</v>
      </c>
      <c r="C137" s="28">
        <f>B137+B137*'0.Panel'!$B$23</f>
        <v>5200</v>
      </c>
      <c r="D137" s="28">
        <f>C137+C137*'0.Panel'!$B$23</f>
        <v>5408</v>
      </c>
      <c r="E137" s="28">
        <f>D137+D137*'0.Panel'!$B$23</f>
        <v>5624.32</v>
      </c>
      <c r="F137" s="28">
        <f>E137+E137*'0.Panel'!$B$23</f>
        <v>5849.2927999999993</v>
      </c>
      <c r="G137" s="28">
        <f>F137+F137*'0.Panel'!$B$23</f>
        <v>6083.2645119999988</v>
      </c>
    </row>
    <row r="138" spans="1:8">
      <c r="A138" s="27" t="s">
        <v>345</v>
      </c>
      <c r="B138" s="28">
        <v>6000</v>
      </c>
      <c r="C138" s="28">
        <f>B138+B138*'0.Panel'!$B$23</f>
        <v>6240</v>
      </c>
      <c r="D138" s="28">
        <f>C138+C138*'0.Panel'!$B$23</f>
        <v>6489.6</v>
      </c>
      <c r="E138" s="28">
        <f>D138+D138*'0.Panel'!$B$23</f>
        <v>6749.1840000000002</v>
      </c>
      <c r="F138" s="28">
        <f>E138+E138*'0.Panel'!$B$23</f>
        <v>7019.1513599999998</v>
      </c>
      <c r="G138" s="28">
        <f>F138+F138*'0.Panel'!$B$23</f>
        <v>7299.9174143999999</v>
      </c>
    </row>
    <row r="139" spans="1:8">
      <c r="A139" s="34" t="s">
        <v>267</v>
      </c>
      <c r="B139" s="28">
        <v>3500</v>
      </c>
      <c r="C139" s="28">
        <f>B139+B139*'0.Panel'!$B$23</f>
        <v>3640</v>
      </c>
      <c r="D139" s="28">
        <f>C139+C139*'0.Panel'!$B$23</f>
        <v>3785.6</v>
      </c>
      <c r="E139" s="28">
        <f>D139+D139*'0.Panel'!$B$23</f>
        <v>3937.0239999999999</v>
      </c>
      <c r="F139" s="28">
        <f>E139+E139*'0.Panel'!$B$23</f>
        <v>4094.5049599999998</v>
      </c>
      <c r="G139" s="28">
        <f>F139+F139*'0.Panel'!$B$23</f>
        <v>4258.2851584</v>
      </c>
    </row>
    <row r="140" spans="1:8" ht="58.2" customHeight="1">
      <c r="A140" s="34" t="s">
        <v>397</v>
      </c>
      <c r="B140" s="28">
        <v>7250</v>
      </c>
      <c r="C140" s="28">
        <f>B140+B140*'0.Panel'!$B$23</f>
        <v>7540</v>
      </c>
      <c r="D140" s="28">
        <f>C140+C140*'0.Panel'!$B$23</f>
        <v>7841.6</v>
      </c>
      <c r="E140" s="28">
        <f>D140+D140*'0.Panel'!$B$23</f>
        <v>8155.2640000000001</v>
      </c>
      <c r="F140" s="28">
        <f>E140+E140*'0.Panel'!$B$23</f>
        <v>8481.4745600000006</v>
      </c>
      <c r="G140" s="28">
        <f>F140+F140*'0.Panel'!$B$23</f>
        <v>8820.7335424000012</v>
      </c>
    </row>
    <row r="141" spans="1:8">
      <c r="A141" s="27" t="s">
        <v>346</v>
      </c>
      <c r="B141" s="28">
        <v>4000</v>
      </c>
      <c r="C141" s="28">
        <f>B141+B141*'0.Panel'!$B$23</f>
        <v>4160</v>
      </c>
      <c r="D141" s="28">
        <f>C141+C141*'0.Panel'!$B$23</f>
        <v>4326.3999999999996</v>
      </c>
      <c r="E141" s="28">
        <f>D141+D141*'0.Panel'!$B$23</f>
        <v>4499.4559999999992</v>
      </c>
      <c r="F141" s="28">
        <f>E141+E141*'0.Panel'!$B$23</f>
        <v>4679.4342399999996</v>
      </c>
      <c r="G141" s="28">
        <f>F141+F141*'0.Panel'!$B$23</f>
        <v>4866.6116095999996</v>
      </c>
    </row>
    <row r="142" spans="1:8" ht="25.2" customHeight="1">
      <c r="A142" s="27" t="s">
        <v>347</v>
      </c>
      <c r="B142" s="233">
        <f>'5.JKW'!B3</f>
        <v>1441.8</v>
      </c>
      <c r="C142" s="28">
        <v>0</v>
      </c>
      <c r="D142" s="28">
        <v>0</v>
      </c>
      <c r="E142" s="28">
        <v>0</v>
      </c>
      <c r="F142" s="28">
        <v>0</v>
      </c>
      <c r="G142" s="28">
        <v>0</v>
      </c>
    </row>
    <row r="143" spans="1:8">
      <c r="A143" s="27"/>
      <c r="B143" s="27"/>
      <c r="C143" s="27"/>
      <c r="D143" s="27"/>
      <c r="E143" s="27"/>
      <c r="F143" s="27"/>
      <c r="G143" s="27"/>
    </row>
    <row r="144" spans="1:8">
      <c r="A144" s="27"/>
      <c r="B144" s="27"/>
      <c r="C144" s="27"/>
      <c r="D144" s="27"/>
      <c r="E144" s="27"/>
      <c r="F144" s="27"/>
      <c r="G144" s="27"/>
    </row>
    <row r="145" spans="1:7">
      <c r="A145" s="27"/>
      <c r="B145" s="27"/>
      <c r="C145" s="27"/>
      <c r="D145" s="27"/>
      <c r="E145" s="27"/>
      <c r="F145" s="27"/>
      <c r="G145" s="27"/>
    </row>
    <row r="146" spans="1:7">
      <c r="A146" s="27"/>
      <c r="B146" s="28"/>
      <c r="C146" s="28"/>
      <c r="D146" s="28"/>
      <c r="E146" s="28"/>
      <c r="F146" s="28"/>
      <c r="G146" s="28"/>
    </row>
    <row r="147" spans="1:7">
      <c r="A147" s="27"/>
      <c r="B147" s="28"/>
      <c r="C147" s="28"/>
      <c r="D147" s="28"/>
      <c r="E147" s="28"/>
      <c r="F147" s="28"/>
      <c r="G147" s="28"/>
    </row>
    <row r="148" spans="1:7">
      <c r="A148" s="27"/>
      <c r="B148" s="28"/>
      <c r="C148" s="28"/>
      <c r="D148" s="28"/>
      <c r="E148" s="28"/>
      <c r="F148" s="28"/>
      <c r="G148" s="28"/>
    </row>
    <row r="149" spans="1:7">
      <c r="A149" s="27"/>
      <c r="B149" s="28"/>
      <c r="C149" s="28"/>
      <c r="D149" s="28"/>
      <c r="E149" s="28"/>
      <c r="F149" s="28"/>
      <c r="G149" s="28"/>
    </row>
    <row r="150" spans="1:7">
      <c r="A150" s="27"/>
      <c r="B150" s="28"/>
      <c r="C150" s="28"/>
      <c r="D150" s="28"/>
      <c r="E150" s="28"/>
      <c r="F150" s="28"/>
      <c r="G150" s="28"/>
    </row>
    <row r="151" spans="1:7">
      <c r="A151" s="27"/>
      <c r="B151" s="28"/>
      <c r="C151" s="28"/>
      <c r="D151" s="28"/>
      <c r="E151" s="28"/>
      <c r="F151" s="28"/>
      <c r="G151" s="28"/>
    </row>
    <row r="152" spans="1:7">
      <c r="A152" s="178" t="s">
        <v>18</v>
      </c>
      <c r="B152" s="179">
        <f>SUM(B135:B151)</f>
        <v>27991.8</v>
      </c>
      <c r="C152" s="179">
        <f t="shared" ref="C152:G152" si="20">SUM(C133:C151)</f>
        <v>30729</v>
      </c>
      <c r="D152" s="179">
        <f t="shared" si="20"/>
        <v>31878.160000000003</v>
      </c>
      <c r="E152" s="179">
        <f t="shared" si="20"/>
        <v>33073.246400000004</v>
      </c>
      <c r="F152" s="179">
        <f t="shared" si="20"/>
        <v>34316.096256000004</v>
      </c>
      <c r="G152" s="179">
        <f t="shared" si="20"/>
        <v>35608.62010624</v>
      </c>
    </row>
  </sheetData>
  <sheetProtection algorithmName="SHA-512" hashValue="+Q2VtRw7L2cowOty6bJRh+TJBbN/SG+x91vt51RXtH+oQ+DcmHZ3W4zHG4My52LYROWxiExcd9aGnC3T5uBonQ==" saltValue="t9wT5ByJ19nHBrvFqmPqNw==" spinCount="100000" sheet="1" scenarios="1"/>
  <mergeCells count="11">
    <mergeCell ref="A1:F1"/>
    <mergeCell ref="A130:E130"/>
    <mergeCell ref="A2:B2"/>
    <mergeCell ref="A131:G131"/>
    <mergeCell ref="A104:G104"/>
    <mergeCell ref="A111:G111"/>
    <mergeCell ref="A3:B3"/>
    <mergeCell ref="A18:B18"/>
    <mergeCell ref="A43:G43"/>
    <mergeCell ref="A62:G62"/>
    <mergeCell ref="A82:G82"/>
  </mergeCells>
  <pageMargins left="0.75" right="0.75" top="1" bottom="1" header="0.3" footer="0.3"/>
  <pageSetup paperSize="9" scale="59" fitToHeight="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Arkusz9">
    <tabColor rgb="FF00B0F0"/>
  </sheetPr>
  <dimension ref="A1:P34"/>
  <sheetViews>
    <sheetView zoomScale="70" zoomScaleNormal="70" workbookViewId="0">
      <selection activeCell="N22" sqref="N22"/>
    </sheetView>
  </sheetViews>
  <sheetFormatPr defaultRowHeight="16.8"/>
  <cols>
    <col min="1" max="1" width="14.796875" style="24" bestFit="1" customWidth="1"/>
    <col min="2" max="2" width="48.09765625" style="24" customWidth="1"/>
    <col min="3" max="3" width="25.69921875" style="24" customWidth="1"/>
    <col min="4" max="4" width="2.8984375" style="24" customWidth="1"/>
    <col min="5" max="6" width="8.796875" style="24"/>
    <col min="7" max="7" width="8.19921875" style="24" customWidth="1"/>
    <col min="8" max="8" width="10.5" style="24" bestFit="1" customWidth="1"/>
    <col min="9" max="10" width="8.796875" style="24"/>
    <col min="11" max="11" width="42.8984375" style="24" customWidth="1"/>
    <col min="12" max="12" width="15.09765625" style="24" customWidth="1"/>
    <col min="13" max="13" width="14.69921875" style="24" customWidth="1"/>
    <col min="14" max="14" width="17.296875" style="24" customWidth="1"/>
    <col min="15" max="15" width="16" style="24" customWidth="1"/>
    <col min="16" max="16384" width="8.796875" style="24"/>
  </cols>
  <sheetData>
    <row r="1" spans="1:16" ht="77.400000000000006" customHeight="1">
      <c r="A1" s="268" t="s">
        <v>402</v>
      </c>
      <c r="B1" s="269"/>
      <c r="C1" s="269"/>
      <c r="D1" s="269"/>
      <c r="E1" s="269"/>
      <c r="F1" s="269"/>
      <c r="J1" s="268" t="s">
        <v>402</v>
      </c>
      <c r="K1" s="269"/>
      <c r="L1" s="269"/>
      <c r="M1" s="269"/>
      <c r="N1" s="269"/>
      <c r="O1" s="269"/>
    </row>
    <row r="2" spans="1:16" ht="17.399999999999999" thickBot="1">
      <c r="A2" s="282" t="s">
        <v>189</v>
      </c>
      <c r="B2" s="283"/>
      <c r="C2" s="284"/>
      <c r="D2" s="284"/>
      <c r="E2" s="284"/>
      <c r="F2" s="284"/>
      <c r="G2" s="284"/>
      <c r="J2" s="322" t="s">
        <v>280</v>
      </c>
      <c r="K2" s="323"/>
      <c r="L2" s="323"/>
      <c r="M2" s="323"/>
      <c r="N2" s="323"/>
      <c r="O2" s="323"/>
    </row>
    <row r="3" spans="1:16" ht="39" customHeight="1" thickBot="1">
      <c r="A3" s="24" t="s">
        <v>348</v>
      </c>
      <c r="B3" s="35">
        <f>SUM(B4:B13)</f>
        <v>1441.8</v>
      </c>
      <c r="J3" s="324"/>
      <c r="K3" s="325"/>
      <c r="L3" s="325"/>
      <c r="M3" s="325"/>
      <c r="N3" s="325"/>
      <c r="O3" s="326"/>
      <c r="P3" s="36" t="s">
        <v>295</v>
      </c>
    </row>
    <row r="4" spans="1:16" ht="35.4" thickBot="1">
      <c r="A4" s="159" t="s">
        <v>349</v>
      </c>
      <c r="B4" s="231">
        <f>C11+H4</f>
        <v>535</v>
      </c>
      <c r="C4" s="24" t="s">
        <v>191</v>
      </c>
      <c r="E4" s="46" t="s">
        <v>351</v>
      </c>
      <c r="F4" s="46"/>
      <c r="G4" s="46"/>
      <c r="H4" s="47">
        <f>O18</f>
        <v>35.000000000000007</v>
      </c>
      <c r="J4" s="37" t="s">
        <v>143</v>
      </c>
      <c r="K4" s="38" t="s">
        <v>287</v>
      </c>
      <c r="L4" s="38" t="s">
        <v>291</v>
      </c>
      <c r="M4" s="38" t="s">
        <v>292</v>
      </c>
      <c r="N4" s="38" t="s">
        <v>293</v>
      </c>
      <c r="O4" s="38" t="s">
        <v>157</v>
      </c>
    </row>
    <row r="5" spans="1:16" ht="17.399999999999999">
      <c r="B5" s="118" t="s">
        <v>353</v>
      </c>
      <c r="C5" s="118">
        <v>0</v>
      </c>
      <c r="J5" s="115" t="s">
        <v>144</v>
      </c>
      <c r="K5" s="102" t="s">
        <v>145</v>
      </c>
      <c r="L5" s="102"/>
      <c r="M5" s="102"/>
      <c r="N5" s="102"/>
      <c r="O5" s="102"/>
    </row>
    <row r="6" spans="1:16" ht="34.799999999999997">
      <c r="B6" s="118" t="s">
        <v>354</v>
      </c>
      <c r="C6" s="118">
        <v>0</v>
      </c>
      <c r="J6" s="113"/>
      <c r="K6" s="117" t="s">
        <v>288</v>
      </c>
      <c r="L6" s="117" t="s">
        <v>253</v>
      </c>
      <c r="M6" s="121">
        <f>N19</f>
        <v>1</v>
      </c>
      <c r="N6" s="121">
        <v>0</v>
      </c>
      <c r="O6" s="98">
        <f>M6*N6</f>
        <v>0</v>
      </c>
    </row>
    <row r="7" spans="1:16" ht="17.399999999999999">
      <c r="B7" s="118" t="s">
        <v>355</v>
      </c>
      <c r="C7" s="118">
        <v>0</v>
      </c>
      <c r="J7" s="113"/>
      <c r="K7" s="116"/>
      <c r="L7" s="119"/>
      <c r="M7" s="121"/>
      <c r="N7" s="121"/>
      <c r="O7" s="41"/>
    </row>
    <row r="8" spans="1:16" ht="22.8" customHeight="1">
      <c r="B8" s="118"/>
      <c r="C8" s="118">
        <v>0</v>
      </c>
      <c r="J8" s="113"/>
      <c r="K8" s="102" t="s">
        <v>270</v>
      </c>
      <c r="L8" s="106"/>
      <c r="M8" s="122"/>
      <c r="N8" s="122"/>
      <c r="O8" s="105"/>
    </row>
    <row r="9" spans="1:16" ht="17.399999999999999">
      <c r="B9" s="118" t="s">
        <v>356</v>
      </c>
      <c r="C9" s="118">
        <v>500</v>
      </c>
      <c r="J9" s="113"/>
      <c r="K9" s="118" t="s">
        <v>150</v>
      </c>
      <c r="L9" s="118" t="s">
        <v>152</v>
      </c>
      <c r="M9" s="118">
        <v>1.3</v>
      </c>
      <c r="N9" s="124">
        <v>30</v>
      </c>
      <c r="O9" s="100">
        <v>29.5</v>
      </c>
    </row>
    <row r="10" spans="1:16" ht="17.399999999999999">
      <c r="B10" s="118"/>
      <c r="C10" s="118">
        <v>0</v>
      </c>
      <c r="J10" s="113"/>
      <c r="K10" s="116" t="s">
        <v>271</v>
      </c>
      <c r="L10" s="106"/>
      <c r="M10" s="122"/>
      <c r="N10" s="122"/>
      <c r="O10" s="105"/>
    </row>
    <row r="11" spans="1:16" ht="23.4" customHeight="1" thickBot="1">
      <c r="B11" s="230" t="s">
        <v>357</v>
      </c>
      <c r="C11" s="44">
        <f>SUM(C4:C10)</f>
        <v>500</v>
      </c>
      <c r="J11" s="113"/>
      <c r="K11" s="118" t="s">
        <v>151</v>
      </c>
      <c r="L11" s="118" t="s">
        <v>152</v>
      </c>
      <c r="M11" s="118">
        <v>0.4</v>
      </c>
      <c r="N11" s="120">
        <v>4</v>
      </c>
      <c r="O11" s="100">
        <f>M11*N11</f>
        <v>1.6</v>
      </c>
    </row>
    <row r="12" spans="1:16" ht="17.399999999999999">
      <c r="J12" s="113"/>
      <c r="K12" s="118" t="s">
        <v>153</v>
      </c>
      <c r="L12" s="106"/>
      <c r="M12" s="123"/>
      <c r="N12" s="123"/>
      <c r="O12" s="100"/>
    </row>
    <row r="13" spans="1:16" ht="17.399999999999999">
      <c r="A13" s="159" t="s">
        <v>350</v>
      </c>
      <c r="B13" s="231">
        <f>C21+H13</f>
        <v>906.8</v>
      </c>
      <c r="C13" s="24" t="s">
        <v>191</v>
      </c>
      <c r="E13" s="46" t="s">
        <v>352</v>
      </c>
      <c r="F13" s="46"/>
      <c r="G13" s="46"/>
      <c r="H13" s="47">
        <f>O33</f>
        <v>106.80000000000001</v>
      </c>
      <c r="J13" s="113"/>
      <c r="K13" s="118" t="s">
        <v>154</v>
      </c>
      <c r="L13" s="118">
        <v>1</v>
      </c>
      <c r="M13" s="118">
        <v>6</v>
      </c>
      <c r="N13" s="120">
        <v>0.2</v>
      </c>
      <c r="O13" s="100">
        <f>N13*M13</f>
        <v>1.2000000000000002</v>
      </c>
    </row>
    <row r="14" spans="1:16" ht="17.399999999999999">
      <c r="B14" s="118" t="s">
        <v>353</v>
      </c>
      <c r="C14" s="118">
        <v>0</v>
      </c>
      <c r="J14" s="113"/>
      <c r="K14" s="118" t="s">
        <v>155</v>
      </c>
      <c r="L14" s="120" t="s">
        <v>156</v>
      </c>
      <c r="M14" s="118">
        <v>0.5</v>
      </c>
      <c r="N14" s="120">
        <v>4</v>
      </c>
      <c r="O14" s="100">
        <v>2</v>
      </c>
    </row>
    <row r="15" spans="1:16" ht="34.799999999999997">
      <c r="B15" s="118" t="s">
        <v>354</v>
      </c>
      <c r="C15" s="118">
        <v>0</v>
      </c>
      <c r="J15" s="113"/>
      <c r="K15" s="116" t="s">
        <v>264</v>
      </c>
      <c r="L15" s="117" t="s">
        <v>265</v>
      </c>
      <c r="M15" s="117">
        <v>1</v>
      </c>
      <c r="N15" s="125">
        <v>0.7</v>
      </c>
      <c r="O15" s="97">
        <f>N15*M15</f>
        <v>0.7</v>
      </c>
    </row>
    <row r="16" spans="1:16" ht="17.399999999999999">
      <c r="B16" s="118" t="s">
        <v>355</v>
      </c>
      <c r="C16" s="118">
        <v>0</v>
      </c>
      <c r="J16" s="113"/>
      <c r="K16" s="118"/>
      <c r="L16" s="118"/>
      <c r="M16" s="118"/>
      <c r="N16" s="118"/>
      <c r="O16" s="118"/>
    </row>
    <row r="17" spans="2:15" ht="16.8" customHeight="1">
      <c r="B17" s="118"/>
      <c r="C17" s="118">
        <v>0</v>
      </c>
      <c r="J17" s="113"/>
      <c r="K17" s="118"/>
      <c r="L17" s="118"/>
      <c r="M17" s="118"/>
      <c r="N17" s="118"/>
      <c r="O17" s="118"/>
    </row>
    <row r="18" spans="2:15" ht="18" thickBot="1">
      <c r="B18" s="118" t="s">
        <v>356</v>
      </c>
      <c r="C18" s="118">
        <v>800</v>
      </c>
      <c r="J18" s="112"/>
      <c r="K18" s="44" t="s">
        <v>146</v>
      </c>
      <c r="L18" s="44"/>
      <c r="M18" s="44"/>
      <c r="N18" s="44"/>
      <c r="O18" s="45">
        <f>SUM(O5:O15)</f>
        <v>35.000000000000007</v>
      </c>
    </row>
    <row r="19" spans="2:15" ht="19.8" customHeight="1" thickBot="1">
      <c r="B19" s="118"/>
      <c r="C19" s="118">
        <v>0</v>
      </c>
      <c r="J19" s="112"/>
      <c r="K19" s="318" t="s">
        <v>358</v>
      </c>
      <c r="L19" s="319"/>
      <c r="M19" s="319"/>
      <c r="N19" s="225">
        <v>1</v>
      </c>
      <c r="O19" s="114" t="s">
        <v>248</v>
      </c>
    </row>
    <row r="20" spans="2:15" ht="34.200000000000003" customHeight="1" thickBot="1">
      <c r="B20" s="118"/>
      <c r="C20" s="118">
        <v>0</v>
      </c>
      <c r="J20" s="126" t="s">
        <v>143</v>
      </c>
      <c r="K20" s="38" t="s">
        <v>290</v>
      </c>
      <c r="L20" s="38" t="s">
        <v>291</v>
      </c>
      <c r="M20" s="38" t="s">
        <v>148</v>
      </c>
      <c r="N20" s="38" t="s">
        <v>149</v>
      </c>
      <c r="O20" s="38" t="s">
        <v>157</v>
      </c>
    </row>
    <row r="21" spans="2:15" ht="18" thickBot="1">
      <c r="B21" s="229" t="s">
        <v>357</v>
      </c>
      <c r="C21" s="44">
        <f>SUM(C14:C20)</f>
        <v>800</v>
      </c>
      <c r="J21" s="112" t="s">
        <v>147</v>
      </c>
      <c r="K21" s="102" t="s">
        <v>145</v>
      </c>
      <c r="L21" s="102"/>
      <c r="M21" s="102"/>
      <c r="N21" s="102"/>
      <c r="O21" s="102"/>
    </row>
    <row r="22" spans="2:15" ht="34.799999999999997">
      <c r="J22" s="112"/>
      <c r="K22" s="41" t="s">
        <v>289</v>
      </c>
      <c r="L22" s="40" t="s">
        <v>253</v>
      </c>
      <c r="M22" s="228">
        <f>N34</f>
        <v>2</v>
      </c>
      <c r="N22" s="228">
        <v>0</v>
      </c>
      <c r="O22" s="42">
        <v>0</v>
      </c>
    </row>
    <row r="23" spans="2:15" ht="17.399999999999999">
      <c r="J23" s="112"/>
      <c r="K23" s="102" t="s">
        <v>270</v>
      </c>
      <c r="L23" s="103"/>
      <c r="M23" s="104"/>
      <c r="N23" s="104"/>
      <c r="O23" s="105"/>
    </row>
    <row r="24" spans="2:15" ht="17.399999999999999">
      <c r="J24" s="112"/>
      <c r="K24" s="99" t="s">
        <v>150</v>
      </c>
      <c r="L24" s="92" t="s">
        <v>152</v>
      </c>
      <c r="M24" s="92">
        <v>1.21</v>
      </c>
      <c r="N24" s="96">
        <v>90</v>
      </c>
      <c r="O24" s="100">
        <v>96</v>
      </c>
    </row>
    <row r="25" spans="2:15" ht="17.399999999999999">
      <c r="J25" s="112"/>
      <c r="K25" s="101" t="s">
        <v>271</v>
      </c>
      <c r="L25" s="107"/>
      <c r="M25" s="108"/>
      <c r="N25" s="108"/>
      <c r="O25" s="109"/>
    </row>
    <row r="26" spans="2:15" ht="17.399999999999999">
      <c r="J26" s="112"/>
      <c r="K26" s="99" t="s">
        <v>151</v>
      </c>
      <c r="L26" s="92" t="s">
        <v>152</v>
      </c>
      <c r="M26" s="92">
        <v>0.3</v>
      </c>
      <c r="N26" s="95">
        <v>4</v>
      </c>
      <c r="O26" s="110">
        <f>N26*M26</f>
        <v>1.2</v>
      </c>
    </row>
    <row r="27" spans="2:15" ht="17.399999999999999">
      <c r="J27" s="112"/>
      <c r="K27" s="99" t="s">
        <v>153</v>
      </c>
      <c r="L27" s="93"/>
      <c r="M27" s="94"/>
      <c r="N27" s="94"/>
      <c r="O27" s="111"/>
    </row>
    <row r="28" spans="2:15" ht="17.399999999999999">
      <c r="J28" s="112"/>
      <c r="K28" s="99" t="s">
        <v>154</v>
      </c>
      <c r="L28" s="92" t="s">
        <v>159</v>
      </c>
      <c r="M28" s="92">
        <v>1</v>
      </c>
      <c r="N28" s="95">
        <v>1.2</v>
      </c>
      <c r="O28" s="110">
        <f>N28*M28</f>
        <v>1.2</v>
      </c>
    </row>
    <row r="29" spans="2:15" ht="17.399999999999999">
      <c r="J29" s="112"/>
      <c r="K29" s="99" t="s">
        <v>155</v>
      </c>
      <c r="L29" s="92" t="s">
        <v>156</v>
      </c>
      <c r="M29" s="92">
        <v>0.5</v>
      </c>
      <c r="N29" s="95">
        <v>4</v>
      </c>
      <c r="O29" s="110">
        <f>N29*M29</f>
        <v>2</v>
      </c>
    </row>
    <row r="30" spans="2:15" ht="17.399999999999999">
      <c r="J30" s="113"/>
      <c r="K30" s="99" t="s">
        <v>158</v>
      </c>
      <c r="L30" s="92" t="s">
        <v>159</v>
      </c>
      <c r="M30" s="92">
        <v>1</v>
      </c>
      <c r="N30" s="95">
        <v>5</v>
      </c>
      <c r="O30" s="110">
        <f>N30*M30</f>
        <v>5</v>
      </c>
    </row>
    <row r="31" spans="2:15" ht="17.399999999999999" customHeight="1">
      <c r="J31" s="113"/>
      <c r="K31" s="99" t="s">
        <v>264</v>
      </c>
      <c r="L31" s="40" t="s">
        <v>265</v>
      </c>
      <c r="M31" s="40">
        <v>2</v>
      </c>
      <c r="N31" s="43">
        <v>0.7</v>
      </c>
      <c r="O31" s="43">
        <f>N31*M31</f>
        <v>1.4</v>
      </c>
    </row>
    <row r="32" spans="2:15" ht="17.399999999999999">
      <c r="J32" s="112"/>
      <c r="K32" s="99"/>
      <c r="L32" s="99"/>
      <c r="M32" s="99"/>
      <c r="N32" s="99"/>
      <c r="O32" s="99"/>
    </row>
    <row r="33" spans="10:15" ht="18" thickBot="1">
      <c r="J33" s="112"/>
      <c r="K33" s="127" t="s">
        <v>146</v>
      </c>
      <c r="L33" s="127"/>
      <c r="M33" s="127"/>
      <c r="N33" s="127"/>
      <c r="O33" s="128">
        <f>SUM(O21:O31)</f>
        <v>106.80000000000001</v>
      </c>
    </row>
    <row r="34" spans="10:15" ht="17.399999999999999" thickBot="1">
      <c r="J34" s="130"/>
      <c r="K34" s="320" t="s">
        <v>358</v>
      </c>
      <c r="L34" s="321"/>
      <c r="M34" s="321"/>
      <c r="N34" s="226">
        <v>2</v>
      </c>
      <c r="O34" s="129" t="s">
        <v>248</v>
      </c>
    </row>
  </sheetData>
  <sheetProtection algorithmName="SHA-512" hashValue="jvDzcoEOiDByRPTfsjsKYgFviSv+YcLPwIK/OFWxx5B+dyaV2m2GfHEnvoUYHR8Oh9WREXqyMabdmmImDmRggA==" saltValue="jmADRQOfGV5MYQUPmNfKaQ==" spinCount="100000" sheet="1" scenarios="1"/>
  <mergeCells count="7">
    <mergeCell ref="K19:M19"/>
    <mergeCell ref="K34:M34"/>
    <mergeCell ref="A1:F1"/>
    <mergeCell ref="J1:O1"/>
    <mergeCell ref="J2:O2"/>
    <mergeCell ref="A2:G2"/>
    <mergeCell ref="J3:O3"/>
  </mergeCells>
  <phoneticPr fontId="14" type="noConversion"/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Arkusz11">
    <tabColor rgb="FF00B050"/>
  </sheetPr>
  <dimension ref="A1:F11"/>
  <sheetViews>
    <sheetView zoomScale="85" zoomScaleNormal="85" workbookViewId="0">
      <selection sqref="A1:F1"/>
    </sheetView>
  </sheetViews>
  <sheetFormatPr defaultColWidth="35.3984375" defaultRowHeight="16.8"/>
  <cols>
    <col min="1" max="1" width="2.8984375" style="24" customWidth="1"/>
    <col min="2" max="2" width="51.69921875" style="24" customWidth="1"/>
    <col min="3" max="3" width="35.3984375" style="24"/>
    <col min="4" max="4" width="7.59765625" style="24" customWidth="1"/>
    <col min="5" max="5" width="11.69921875" style="24" customWidth="1"/>
    <col min="6" max="6" width="6.5" style="24" customWidth="1"/>
    <col min="7" max="16384" width="35.3984375" style="24"/>
  </cols>
  <sheetData>
    <row r="1" spans="1:6" ht="82.8" customHeight="1">
      <c r="A1" s="268" t="s">
        <v>402</v>
      </c>
      <c r="B1" s="269"/>
      <c r="C1" s="269"/>
      <c r="D1" s="269"/>
      <c r="E1" s="269"/>
      <c r="F1" s="269"/>
    </row>
    <row r="2" spans="1:6" ht="17.399999999999999" thickBot="1">
      <c r="A2" s="282" t="s">
        <v>190</v>
      </c>
      <c r="B2" s="283"/>
      <c r="C2" s="284"/>
    </row>
    <row r="3" spans="1:6" ht="15" customHeight="1" thickBot="1">
      <c r="B3" s="327" t="s">
        <v>240</v>
      </c>
      <c r="C3" s="328"/>
    </row>
    <row r="4" spans="1:6" ht="18" thickBot="1">
      <c r="A4" s="24" t="s">
        <v>182</v>
      </c>
      <c r="B4" s="48" t="s">
        <v>359</v>
      </c>
      <c r="C4" s="49">
        <f>'3.Środki trwałe'!B23</f>
        <v>82300</v>
      </c>
    </row>
    <row r="5" spans="1:6" ht="35.4" thickBot="1">
      <c r="A5" s="24" t="s">
        <v>183</v>
      </c>
      <c r="B5" s="48" t="s">
        <v>360</v>
      </c>
      <c r="C5" s="49">
        <f>'4.Koszty stałe'!B12</f>
        <v>6900</v>
      </c>
    </row>
    <row r="6" spans="1:6" ht="35.4" thickBot="1">
      <c r="A6" s="24" t="s">
        <v>184</v>
      </c>
      <c r="B6" s="48" t="s">
        <v>361</v>
      </c>
      <c r="C6" s="50">
        <f>'5.JKW'!B3</f>
        <v>1441.8</v>
      </c>
    </row>
    <row r="7" spans="1:6" ht="18" thickBot="1">
      <c r="A7" s="24" t="s">
        <v>185</v>
      </c>
      <c r="B7" s="48" t="s">
        <v>362</v>
      </c>
      <c r="C7" s="49">
        <f>'4.Koszty stałe'!B79</f>
        <v>124469.52</v>
      </c>
    </row>
    <row r="8" spans="1:6" ht="18" thickBot="1">
      <c r="A8" s="24" t="s">
        <v>186</v>
      </c>
      <c r="B8" s="48" t="s">
        <v>363</v>
      </c>
      <c r="C8" s="49">
        <f>'4.Koszty stałe'!B101</f>
        <v>25440</v>
      </c>
    </row>
    <row r="9" spans="1:6" ht="18" thickBot="1">
      <c r="A9" s="24" t="s">
        <v>188</v>
      </c>
      <c r="B9" s="48" t="s">
        <v>364</v>
      </c>
      <c r="C9" s="49">
        <f>'4.Koszty stałe'!B128</f>
        <v>0</v>
      </c>
    </row>
    <row r="10" spans="1:6" ht="18" thickBot="1">
      <c r="A10" s="24" t="s">
        <v>187</v>
      </c>
      <c r="B10" s="48" t="s">
        <v>181</v>
      </c>
      <c r="C10" s="49">
        <f>'4.Koszty stałe'!B152</f>
        <v>27991.8</v>
      </c>
    </row>
    <row r="11" spans="1:6" ht="18" thickBot="1">
      <c r="B11" s="48" t="s">
        <v>357</v>
      </c>
      <c r="C11" s="49">
        <f>SUM(C4:C10)</f>
        <v>268543.12</v>
      </c>
    </row>
  </sheetData>
  <sheetProtection algorithmName="SHA-512" hashValue="ZSwtkKBqHyVzhbi3wbiIM0DHx1ao/dvpw0kEZORpTCrZhZE8tVwVXsp3UjpfuDFA4KDar3736BIzsXPgr6e03w==" saltValue="T5j6H3YYQZgzrb3WmqSJhg==" spinCount="100000" sheet="1"/>
  <mergeCells count="3">
    <mergeCell ref="B3:C3"/>
    <mergeCell ref="A2:C2"/>
    <mergeCell ref="A1:F1"/>
  </mergeCells>
  <pageMargins left="0.7" right="0.7" top="0.75" bottom="0.75" header="0.3" footer="0.3"/>
  <pageSetup paperSize="9" orientation="portrait" horizontalDpi="4294967292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FEFA5493BBC4448A5AC904421416DF1" ma:contentTypeVersion="2" ma:contentTypeDescription="Utwórz nowy dokument." ma:contentTypeScope="" ma:versionID="162fb425c1f4dfe43fe37f9ce0657207">
  <xsd:schema xmlns:xsd="http://www.w3.org/2001/XMLSchema" xmlns:xs="http://www.w3.org/2001/XMLSchema" xmlns:p="http://schemas.microsoft.com/office/2006/metadata/properties" xmlns:ns2="00c149bb-dc00-4f6c-ab43-43aac749ab0f" targetNamespace="http://schemas.microsoft.com/office/2006/metadata/properties" ma:root="true" ma:fieldsID="2608cfbb164f124ae90e18a5228a3531" ns2:_="">
    <xsd:import namespace="00c149bb-dc00-4f6c-ab43-43aac749ab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c149bb-dc00-4f6c-ab43-43aac749ab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0B755A5-9328-4D51-9BA8-F3168503377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EEC0A84-5ABD-4FD4-9451-E21D483CEC64}">
  <ds:schemaRefs>
    <ds:schemaRef ds:uri="http://purl.org/dc/terms/"/>
    <ds:schemaRef ds:uri="00c149bb-dc00-4f6c-ab43-43aac749ab0f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ADE63EC-2266-47CC-8827-59B63C22D6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c149bb-dc00-4f6c-ab43-43aac749ab0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1</vt:i4>
      </vt:variant>
    </vt:vector>
  </HeadingPairs>
  <TitlesOfParts>
    <vt:vector size="23" baseType="lpstr">
      <vt:lpstr>rpp_real</vt:lpstr>
      <vt:lpstr>00.Metodyka</vt:lpstr>
      <vt:lpstr>0.Panel</vt:lpstr>
      <vt:lpstr>1.Analiza konkurencji</vt:lpstr>
      <vt:lpstr>2.Rachunek zysków i start</vt:lpstr>
      <vt:lpstr>3.Środki trwałe</vt:lpstr>
      <vt:lpstr>4.Koszty stałe</vt:lpstr>
      <vt:lpstr>5.JKW</vt:lpstr>
      <vt:lpstr>6.Koszty początkowe</vt:lpstr>
      <vt:lpstr>6.1.Kwota na materiały</vt:lpstr>
      <vt:lpstr>6.2.Koszty zmienne</vt:lpstr>
      <vt:lpstr>6.3.Wolumen produkcji</vt:lpstr>
      <vt:lpstr>7.Przychody</vt:lpstr>
      <vt:lpstr>8.Cena sprzedaży</vt:lpstr>
      <vt:lpstr>8.1.Marza</vt:lpstr>
      <vt:lpstr>9.Kredyt</vt:lpstr>
      <vt:lpstr>10.Bilans</vt:lpstr>
      <vt:lpstr>11.Wykres Gantta</vt:lpstr>
      <vt:lpstr>12.Analiza wskaźnikowa</vt:lpstr>
      <vt:lpstr>13.NPV i IRR</vt:lpstr>
      <vt:lpstr>14.Wykonalność kredytu</vt:lpstr>
      <vt:lpstr>15. Wykonalność godzin pracy</vt:lpstr>
      <vt:lpstr>'4.Koszty stałe'!Print_Area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 inż. Jarosław Wojciechowski;prof. Renata Lisowska;prof. Monika Malinowska-Olszowy</dc:creator>
  <cp:lastModifiedBy>Jarosław Wojciechowski I42</cp:lastModifiedBy>
  <cp:lastPrinted>2024-07-05T05:35:42Z</cp:lastPrinted>
  <dcterms:created xsi:type="dcterms:W3CDTF">2014-02-07T10:24:53Z</dcterms:created>
  <dcterms:modified xsi:type="dcterms:W3CDTF">2025-01-26T11:21:50Z</dcterms:modified>
  <cp:contentStatus/>
</cp:coreProperties>
</file>